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date1904="1" showInkAnnotation="0" autoCompressPictures="0"/>
  <bookViews>
    <workbookView xWindow="6600" yWindow="1080" windowWidth="37380" windowHeight="21760" tabRatio="235"/>
  </bookViews>
  <sheets>
    <sheet name="LAB XYZ etc." sheetId="1" r:id="rId1"/>
    <sheet name="DE 2000" sheetId="2" r:id="rId2"/>
  </sheets>
  <definedNames>
    <definedName name="Xn">'LAB XYZ etc.'!$N$8</definedName>
    <definedName name="Yn">'LAB XYZ etc.'!$O$8</definedName>
    <definedName name="Zn">'LAB XYZ etc.'!$P$8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" l="1"/>
  <c r="AH32" i="1"/>
  <c r="AG32" i="1"/>
  <c r="X32" i="1"/>
  <c r="Y32" i="1"/>
  <c r="Z32" i="1"/>
  <c r="AA32" i="1"/>
  <c r="AD32" i="1"/>
  <c r="AI32" i="1"/>
  <c r="AJ32" i="1"/>
  <c r="N17" i="2"/>
  <c r="H11" i="2"/>
  <c r="M11" i="2"/>
  <c r="N11" i="2"/>
  <c r="H17" i="2"/>
  <c r="M17" i="2"/>
  <c r="O17" i="2"/>
  <c r="O11" i="2"/>
  <c r="P17" i="2"/>
  <c r="Q17" i="2"/>
  <c r="R17" i="2"/>
  <c r="U17" i="2"/>
  <c r="AB32" i="1"/>
  <c r="AC32" i="1"/>
  <c r="AE32" i="1"/>
  <c r="AF32" i="1"/>
  <c r="AK32" i="1"/>
  <c r="AT32" i="1"/>
  <c r="AU32" i="1"/>
  <c r="AL32" i="1"/>
  <c r="AS32" i="1"/>
  <c r="AR32" i="1"/>
  <c r="W32" i="1"/>
  <c r="AQ32" i="1"/>
  <c r="AM32" i="1"/>
  <c r="AP32" i="1"/>
  <c r="AO32" i="1"/>
  <c r="AN32" i="1"/>
  <c r="V32" i="1"/>
  <c r="M30" i="2"/>
  <c r="N30" i="2"/>
  <c r="O30" i="2"/>
  <c r="R30" i="2"/>
  <c r="P30" i="2"/>
  <c r="Q30" i="2"/>
  <c r="U30" i="2"/>
  <c r="V30" i="2"/>
  <c r="Y30" i="2"/>
  <c r="S30" i="2"/>
  <c r="AB30" i="2"/>
  <c r="AA30" i="2"/>
  <c r="Z30" i="2"/>
  <c r="W30" i="2"/>
  <c r="T30" i="2"/>
  <c r="K30" i="2"/>
  <c r="I11" i="2"/>
  <c r="J11" i="2"/>
  <c r="K11" i="2"/>
  <c r="I17" i="2"/>
  <c r="J17" i="2"/>
  <c r="K17" i="2"/>
  <c r="R11" i="2"/>
  <c r="S11" i="2"/>
  <c r="U11" i="2"/>
  <c r="V11" i="2"/>
  <c r="AF30" i="2"/>
  <c r="AG30" i="2"/>
  <c r="AC30" i="2"/>
  <c r="AD30" i="2"/>
  <c r="X30" i="2"/>
  <c r="AE30" i="2"/>
  <c r="J30" i="2"/>
  <c r="I14" i="2"/>
  <c r="J14" i="2"/>
  <c r="M14" i="2"/>
  <c r="K14" i="2"/>
  <c r="N14" i="2"/>
  <c r="O14" i="2"/>
  <c r="I20" i="2"/>
  <c r="J20" i="2"/>
  <c r="M20" i="2"/>
  <c r="K20" i="2"/>
  <c r="N20" i="2"/>
  <c r="O20" i="2"/>
  <c r="P20" i="2"/>
  <c r="Q20" i="2"/>
  <c r="R14" i="2"/>
  <c r="S14" i="2"/>
  <c r="U14" i="2"/>
  <c r="V14" i="2"/>
  <c r="H14" i="2"/>
  <c r="I13" i="2"/>
  <c r="J13" i="2"/>
  <c r="M13" i="2"/>
  <c r="K13" i="2"/>
  <c r="N13" i="2"/>
  <c r="O13" i="2"/>
  <c r="I19" i="2"/>
  <c r="J19" i="2"/>
  <c r="M19" i="2"/>
  <c r="K19" i="2"/>
  <c r="N19" i="2"/>
  <c r="O19" i="2"/>
  <c r="P19" i="2"/>
  <c r="Q19" i="2"/>
  <c r="R13" i="2"/>
  <c r="S13" i="2"/>
  <c r="U13" i="2"/>
  <c r="V13" i="2"/>
  <c r="H13" i="2"/>
  <c r="I12" i="2"/>
  <c r="J12" i="2"/>
  <c r="M12" i="2"/>
  <c r="K12" i="2"/>
  <c r="N12" i="2"/>
  <c r="O12" i="2"/>
  <c r="I18" i="2"/>
  <c r="J18" i="2"/>
  <c r="M18" i="2"/>
  <c r="K18" i="2"/>
  <c r="N18" i="2"/>
  <c r="O18" i="2"/>
  <c r="P18" i="2"/>
  <c r="Q18" i="2"/>
  <c r="R12" i="2"/>
  <c r="S12" i="2"/>
  <c r="U12" i="2"/>
  <c r="V12" i="2"/>
  <c r="H12" i="2"/>
  <c r="L30" i="2"/>
  <c r="AL23" i="2"/>
  <c r="AK23" i="2"/>
  <c r="AJ23" i="2"/>
  <c r="C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Z17" i="2"/>
  <c r="U32" i="1"/>
  <c r="H12" i="1"/>
  <c r="G12" i="1"/>
  <c r="L12" i="1"/>
  <c r="F12" i="1"/>
  <c r="K12" i="1"/>
  <c r="P12" i="1"/>
  <c r="O12" i="1"/>
  <c r="S12" i="1"/>
  <c r="T12" i="1"/>
  <c r="V12" i="1"/>
  <c r="B27" i="1"/>
  <c r="D27" i="1"/>
  <c r="C27" i="1"/>
  <c r="H27" i="1"/>
  <c r="G27" i="1"/>
  <c r="B17" i="1"/>
  <c r="D17" i="1"/>
  <c r="C17" i="1"/>
  <c r="F17" i="1"/>
  <c r="G17" i="1"/>
  <c r="H17" i="1"/>
  <c r="L17" i="1"/>
  <c r="K17" i="1"/>
  <c r="J17" i="1"/>
  <c r="R16" i="1" a="1"/>
  <c r="R16" i="1"/>
  <c r="S16" i="1"/>
  <c r="T16" i="1"/>
  <c r="R17" i="1"/>
  <c r="S17" i="1"/>
  <c r="T17" i="1"/>
  <c r="R18" i="1"/>
  <c r="S18" i="1"/>
  <c r="T18" i="1"/>
  <c r="C22" i="1"/>
  <c r="F22" i="1"/>
  <c r="H22" i="1"/>
  <c r="J22" i="1"/>
  <c r="C35" i="1"/>
  <c r="J12" i="1"/>
  <c r="N12" i="1"/>
  <c r="R12" i="1"/>
  <c r="B22" i="1"/>
  <c r="D22" i="1"/>
  <c r="F27" i="1"/>
  <c r="J27" i="1"/>
  <c r="K27" i="1"/>
  <c r="L27" i="1"/>
  <c r="B32" i="1"/>
  <c r="F32" i="1"/>
  <c r="G32" i="1"/>
  <c r="C36" i="1"/>
  <c r="B17" i="2"/>
  <c r="L17" i="2"/>
  <c r="AC17" i="2"/>
  <c r="S17" i="2"/>
  <c r="AA17" i="2"/>
  <c r="T17" i="2"/>
  <c r="AD17" i="2"/>
  <c r="V17" i="2"/>
  <c r="Y17" i="2"/>
  <c r="AB17" i="2"/>
  <c r="W17" i="2"/>
  <c r="X17" i="2"/>
  <c r="AE17" i="2"/>
  <c r="AF17" i="2"/>
  <c r="AG17" i="2"/>
  <c r="F17" i="2"/>
  <c r="B18" i="2"/>
  <c r="H18" i="2"/>
  <c r="Z18" i="2"/>
  <c r="L18" i="2"/>
  <c r="AC18" i="2"/>
  <c r="R18" i="2"/>
  <c r="S18" i="2"/>
  <c r="AA18" i="2"/>
  <c r="T18" i="2"/>
  <c r="AD18" i="2"/>
  <c r="U18" i="2"/>
  <c r="V18" i="2"/>
  <c r="Y18" i="2"/>
  <c r="AB18" i="2"/>
  <c r="W18" i="2"/>
  <c r="X18" i="2"/>
  <c r="AE18" i="2"/>
  <c r="AF18" i="2"/>
  <c r="AG18" i="2"/>
  <c r="F18" i="2"/>
  <c r="B19" i="2"/>
  <c r="H19" i="2"/>
  <c r="Z19" i="2"/>
  <c r="L19" i="2"/>
  <c r="AC19" i="2"/>
  <c r="R19" i="2"/>
  <c r="S19" i="2"/>
  <c r="AA19" i="2"/>
  <c r="T19" i="2"/>
  <c r="AD19" i="2"/>
  <c r="U19" i="2"/>
  <c r="V19" i="2"/>
  <c r="Y19" i="2"/>
  <c r="AB19" i="2"/>
  <c r="W19" i="2"/>
  <c r="X19" i="2"/>
  <c r="AE19" i="2"/>
  <c r="AF19" i="2"/>
  <c r="AG19" i="2"/>
  <c r="F19" i="2"/>
  <c r="B20" i="2"/>
  <c r="H20" i="2"/>
  <c r="Z20" i="2"/>
  <c r="L20" i="2"/>
  <c r="AC20" i="2"/>
  <c r="R20" i="2"/>
  <c r="S20" i="2"/>
  <c r="AA20" i="2"/>
  <c r="T20" i="2"/>
  <c r="AD20" i="2"/>
  <c r="U20" i="2"/>
  <c r="V20" i="2"/>
  <c r="Y20" i="2"/>
  <c r="AB20" i="2"/>
  <c r="W20" i="2"/>
  <c r="X20" i="2"/>
  <c r="AE20" i="2"/>
  <c r="AF20" i="2"/>
  <c r="AG20" i="2"/>
  <c r="F20" i="2"/>
</calcChain>
</file>

<file path=xl/sharedStrings.xml><?xml version="1.0" encoding="utf-8"?>
<sst xmlns="http://schemas.openxmlformats.org/spreadsheetml/2006/main" count="283" uniqueCount="112">
  <si>
    <t>All XYZ values must be in the range 0-100, not 0-1.0</t>
  </si>
  <si>
    <t>Computes DE 2k for four references with samples arranged in sequencial order</t>
  </si>
  <si>
    <t>If only one common reference is neede, replicate the first "Sample" line below it for as many samples as you have.</t>
  </si>
  <si>
    <t>First</t>
  </si>
  <si>
    <t>Third</t>
  </si>
  <si>
    <t>Fourth</t>
  </si>
  <si>
    <t>Second</t>
  </si>
  <si>
    <t>X</t>
  </si>
  <si>
    <t>Y</t>
  </si>
  <si>
    <t>Z</t>
  </si>
  <si>
    <t>L*</t>
  </si>
  <si>
    <t>a*</t>
  </si>
  <si>
    <t>b*</t>
  </si>
  <si>
    <t>Input</t>
  </si>
  <si>
    <t>&gt;&gt;&gt;</t>
  </si>
  <si>
    <t>C</t>
  </si>
  <si>
    <t>H</t>
  </si>
  <si>
    <t>To use these formulae in another worksheet:</t>
  </si>
  <si>
    <t>L</t>
  </si>
  <si>
    <t>M</t>
  </si>
  <si>
    <t>S</t>
  </si>
  <si>
    <t>From LMS</t>
  </si>
  <si>
    <t>From XYZ</t>
  </si>
  <si>
    <t>From Lab</t>
  </si>
  <si>
    <t>x</t>
  </si>
  <si>
    <t>y</t>
  </si>
  <si>
    <t>From Yxy</t>
  </si>
  <si>
    <t>D</t>
  </si>
  <si>
    <t>Visual</t>
  </si>
  <si>
    <t xml:space="preserve">D = </t>
  </si>
  <si>
    <t xml:space="preserve">L* = </t>
  </si>
  <si>
    <t>v</t>
  </si>
  <si>
    <t>CAUTION:  Accuracy not guaranteed.  No support offered.  Use these at your own risk.</t>
  </si>
  <si>
    <t>From LCH</t>
  </si>
  <si>
    <t>Lab-XYZ via ISO13655 (Courtesy Mike Rodriguez)</t>
  </si>
  <si>
    <t>CIEDE2000</t>
  </si>
  <si>
    <t xml:space="preserve">for programmers: </t>
  </si>
  <si>
    <r>
      <t xml:space="preserve">all trigonometric functions need conversion of </t>
    </r>
    <r>
      <rPr>
        <b/>
        <sz val="12"/>
        <rFont val="Arial"/>
      </rPr>
      <t>angle to radian</t>
    </r>
  </si>
  <si>
    <r>
      <t>a'</t>
    </r>
    <r>
      <rPr>
        <sz val="12"/>
        <rFont val="Arial"/>
      </rPr>
      <t xml:space="preserve"> here needs a </t>
    </r>
    <r>
      <rPr>
        <b/>
        <sz val="12"/>
        <rFont val="Arial"/>
      </rPr>
      <t>resetting of the fixed variable</t>
    </r>
    <r>
      <rPr>
        <sz val="12"/>
        <rFont val="Arial"/>
      </rPr>
      <t xml:space="preserve"> for every two lines </t>
    </r>
  </si>
  <si>
    <t>Ref</t>
  </si>
  <si>
    <t>G</t>
  </si>
  <si>
    <t>a'</t>
  </si>
  <si>
    <t>C'</t>
  </si>
  <si>
    <t>h'</t>
  </si>
  <si>
    <t>T</t>
  </si>
  <si>
    <t>DQ</t>
  </si>
  <si>
    <t>Samples</t>
  </si>
  <si>
    <r>
      <t>f(X/X</t>
    </r>
    <r>
      <rPr>
        <vertAlign val="subscript"/>
        <sz val="12"/>
        <rFont val="Arial"/>
      </rPr>
      <t>0,10</t>
    </r>
    <r>
      <rPr>
        <sz val="12"/>
        <rFont val="Arial"/>
      </rPr>
      <t>)</t>
    </r>
  </si>
  <si>
    <r>
      <t>f(Y/Y</t>
    </r>
    <r>
      <rPr>
        <vertAlign val="subscript"/>
        <sz val="12"/>
        <rFont val="Arial"/>
      </rPr>
      <t>0,10</t>
    </r>
    <r>
      <rPr>
        <sz val="12"/>
        <rFont val="Arial"/>
      </rPr>
      <t>)</t>
    </r>
  </si>
  <si>
    <r>
      <t>f(Z/Z</t>
    </r>
    <r>
      <rPr>
        <vertAlign val="subscript"/>
        <sz val="12"/>
        <rFont val="Arial"/>
      </rPr>
      <t>0,10</t>
    </r>
    <r>
      <rPr>
        <sz val="12"/>
        <rFont val="Arial"/>
      </rPr>
      <t>)</t>
    </r>
  </si>
  <si>
    <r>
      <t>L'</t>
    </r>
    <r>
      <rPr>
        <vertAlign val="subscript"/>
        <sz val="12"/>
        <rFont val="Arial"/>
      </rPr>
      <t>m</t>
    </r>
  </si>
  <si>
    <r>
      <t>C*</t>
    </r>
    <r>
      <rPr>
        <vertAlign val="subscript"/>
        <sz val="12"/>
        <rFont val="Arial"/>
      </rPr>
      <t>ab</t>
    </r>
  </si>
  <si>
    <r>
      <t>C*</t>
    </r>
    <r>
      <rPr>
        <vertAlign val="subscript"/>
        <sz val="12"/>
        <rFont val="Arial"/>
      </rPr>
      <t>ab,m</t>
    </r>
  </si>
  <si>
    <r>
      <t>C'</t>
    </r>
    <r>
      <rPr>
        <vertAlign val="subscript"/>
        <sz val="12"/>
        <rFont val="Arial"/>
      </rPr>
      <t>m</t>
    </r>
  </si>
  <si>
    <r>
      <t>h'</t>
    </r>
    <r>
      <rPr>
        <vertAlign val="subscript"/>
        <sz val="12"/>
        <rFont val="Arial"/>
      </rPr>
      <t>m</t>
    </r>
  </si>
  <si>
    <r>
      <t>D</t>
    </r>
    <r>
      <rPr>
        <sz val="12"/>
        <rFont val="Arial"/>
      </rPr>
      <t>h'</t>
    </r>
  </si>
  <si>
    <r>
      <t>D</t>
    </r>
    <r>
      <rPr>
        <sz val="12"/>
        <rFont val="Arial"/>
      </rPr>
      <t>L'</t>
    </r>
  </si>
  <si>
    <r>
      <t>D</t>
    </r>
    <r>
      <rPr>
        <sz val="12"/>
        <rFont val="Arial"/>
      </rPr>
      <t>C'</t>
    </r>
  </si>
  <si>
    <r>
      <t>D</t>
    </r>
    <r>
      <rPr>
        <sz val="12"/>
        <rFont val="Arial"/>
      </rPr>
      <t>H'</t>
    </r>
  </si>
  <si>
    <r>
      <t>S</t>
    </r>
    <r>
      <rPr>
        <vertAlign val="subscript"/>
        <sz val="12"/>
        <rFont val="Arial"/>
      </rPr>
      <t>L</t>
    </r>
  </si>
  <si>
    <r>
      <t>S</t>
    </r>
    <r>
      <rPr>
        <vertAlign val="subscript"/>
        <sz val="12"/>
        <rFont val="Arial"/>
      </rPr>
      <t>C</t>
    </r>
  </si>
  <si>
    <r>
      <t>S</t>
    </r>
    <r>
      <rPr>
        <vertAlign val="subscript"/>
        <sz val="12"/>
        <rFont val="Arial"/>
      </rPr>
      <t>H</t>
    </r>
  </si>
  <si>
    <r>
      <t>R</t>
    </r>
    <r>
      <rPr>
        <vertAlign val="subscript"/>
        <sz val="12"/>
        <rFont val="Arial"/>
      </rPr>
      <t>T</t>
    </r>
  </si>
  <si>
    <r>
      <t>D</t>
    </r>
    <r>
      <rPr>
        <b/>
        <sz val="12"/>
        <rFont val="Arial"/>
      </rPr>
      <t>E</t>
    </r>
    <r>
      <rPr>
        <b/>
        <vertAlign val="subscript"/>
        <sz val="12"/>
        <rFont val="Arial"/>
      </rPr>
      <t>00</t>
    </r>
  </si>
  <si>
    <t>http://www.cis.rit.edu/mcsl/online/cie.php</t>
  </si>
  <si>
    <t>White point</t>
  </si>
  <si>
    <r>
      <t>X</t>
    </r>
    <r>
      <rPr>
        <b/>
        <vertAlign val="subscript"/>
        <sz val="12"/>
        <rFont val="Arial"/>
      </rPr>
      <t>0,10</t>
    </r>
  </si>
  <si>
    <r>
      <t>Y</t>
    </r>
    <r>
      <rPr>
        <b/>
        <vertAlign val="subscript"/>
        <sz val="12"/>
        <rFont val="Arial"/>
      </rPr>
      <t>0,10</t>
    </r>
  </si>
  <si>
    <r>
      <t>Z</t>
    </r>
    <r>
      <rPr>
        <b/>
        <vertAlign val="subscript"/>
        <sz val="12"/>
        <rFont val="Arial"/>
      </rPr>
      <t>0,10</t>
    </r>
  </si>
  <si>
    <t>CIE_X</t>
  </si>
  <si>
    <t>CIE_Y</t>
  </si>
  <si>
    <t>CIE_Z</t>
  </si>
  <si>
    <t>Note:</t>
  </si>
  <si>
    <t>From D</t>
  </si>
  <si>
    <t>Dot %</t>
  </si>
  <si>
    <t>From %</t>
  </si>
  <si>
    <t>LMS calculations improved January 2013</t>
  </si>
  <si>
    <t>Yxy divide by zero error fixed January 2014</t>
  </si>
  <si>
    <t>h</t>
  </si>
  <si>
    <t>Little h added April 2014</t>
  </si>
  <si>
    <r>
      <t xml:space="preserve">Use </t>
    </r>
    <r>
      <rPr>
        <b/>
        <sz val="12"/>
        <rFont val="Arial"/>
      </rPr>
      <t>Paste as - Formulas</t>
    </r>
    <r>
      <rPr>
        <sz val="12"/>
        <rFont val="Arial"/>
      </rPr>
      <t xml:space="preserve"> to ignore this sheet's formatting</t>
    </r>
  </si>
  <si>
    <t>Replicate conversion cells as desired</t>
  </si>
  <si>
    <t>Copy desired cells from this sheet and paste in same relative position in your workbook</t>
  </si>
  <si>
    <r>
      <t>dE</t>
    </r>
    <r>
      <rPr>
        <vertAlign val="subscript"/>
        <sz val="12"/>
        <rFont val="Arial Black"/>
      </rPr>
      <t>76</t>
    </r>
  </si>
  <si>
    <t>L1</t>
  </si>
  <si>
    <t>a1</t>
  </si>
  <si>
    <t>b1</t>
  </si>
  <si>
    <t>L2</t>
  </si>
  <si>
    <t>a2</t>
  </si>
  <si>
    <t>b2</t>
  </si>
  <si>
    <r>
      <t>dE</t>
    </r>
    <r>
      <rPr>
        <vertAlign val="subscript"/>
        <sz val="12"/>
        <rFont val="Arial Black"/>
      </rPr>
      <t>00</t>
    </r>
  </si>
  <si>
    <t>dE00</t>
  </si>
  <si>
    <r>
      <t>C*</t>
    </r>
    <r>
      <rPr>
        <vertAlign val="subscript"/>
        <sz val="12"/>
        <rFont val="Arial"/>
      </rPr>
      <t>ref</t>
    </r>
  </si>
  <si>
    <r>
      <t>C*</t>
    </r>
    <r>
      <rPr>
        <vertAlign val="subscript"/>
        <sz val="12"/>
        <rFont val="Arial"/>
      </rPr>
      <t>smp</t>
    </r>
  </si>
  <si>
    <r>
      <t>L*</t>
    </r>
    <r>
      <rPr>
        <vertAlign val="subscript"/>
        <sz val="12"/>
        <rFont val="Arial"/>
      </rPr>
      <t>smp</t>
    </r>
  </si>
  <si>
    <r>
      <t>L*</t>
    </r>
    <r>
      <rPr>
        <vertAlign val="subscript"/>
        <sz val="12"/>
        <rFont val="Arial"/>
      </rPr>
      <t>ref</t>
    </r>
  </si>
  <si>
    <r>
      <t>b*</t>
    </r>
    <r>
      <rPr>
        <vertAlign val="subscript"/>
        <sz val="12"/>
        <rFont val="Arial"/>
      </rPr>
      <t>smp</t>
    </r>
  </si>
  <si>
    <r>
      <t>b*</t>
    </r>
    <r>
      <rPr>
        <vertAlign val="subscript"/>
        <sz val="12"/>
        <rFont val="Arial"/>
      </rPr>
      <t>ref</t>
    </r>
  </si>
  <si>
    <r>
      <t>C*</t>
    </r>
    <r>
      <rPr>
        <vertAlign val="subscript"/>
        <sz val="12"/>
        <rFont val="Arial"/>
      </rPr>
      <t>avg</t>
    </r>
  </si>
  <si>
    <r>
      <t>C'</t>
    </r>
    <r>
      <rPr>
        <vertAlign val="subscript"/>
        <sz val="12"/>
        <rFont val="Arial"/>
      </rPr>
      <t>ref</t>
    </r>
  </si>
  <si>
    <r>
      <t>C'</t>
    </r>
    <r>
      <rPr>
        <vertAlign val="subscript"/>
        <sz val="12"/>
        <rFont val="Arial"/>
      </rPr>
      <t>smp</t>
    </r>
  </si>
  <si>
    <r>
      <t>h'</t>
    </r>
    <r>
      <rPr>
        <vertAlign val="subscript"/>
        <sz val="12"/>
        <rFont val="Arial"/>
      </rPr>
      <t>ref</t>
    </r>
  </si>
  <si>
    <r>
      <t>h'</t>
    </r>
    <r>
      <rPr>
        <vertAlign val="subscript"/>
        <sz val="12"/>
        <rFont val="Arial"/>
      </rPr>
      <t>smp</t>
    </r>
  </si>
  <si>
    <t>Sample</t>
  </si>
  <si>
    <t>Reference</t>
  </si>
  <si>
    <t>Copy all dE00 cells</t>
  </si>
  <si>
    <t>Copyright © 1995 - endoftime HutchColor, LLC</t>
  </si>
  <si>
    <t>Useful Colour Conversion Formulae</t>
  </si>
  <si>
    <r>
      <t>DeltaE</t>
    </r>
    <r>
      <rPr>
        <vertAlign val="subscript"/>
        <sz val="10"/>
        <color theme="1" tint="0.34998626667073579"/>
        <rFont val="Arial"/>
      </rPr>
      <t>00</t>
    </r>
    <r>
      <rPr>
        <sz val="10"/>
        <color theme="1" tint="0.34998626667073579"/>
        <rFont val="Arial"/>
      </rPr>
      <t xml:space="preserve"> from www.cis.rit.edu/mcsl/online/cie.php</t>
    </r>
  </si>
  <si>
    <t>Delta E sample columns</t>
  </si>
  <si>
    <t>Start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</si>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</sst>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4" x14ac:knownFonts="1">
    <font>
      <sz val="9"/>
      <name val="Arial"/>
      <family val="2"/>
    </font>
    <font>
      <sz val="8"/>
      <name val="Arial"/>
    </font>
    <font>
      <sz val="12"/>
      <name val="Arial"/>
    </font>
    <font>
      <sz val="12"/>
      <name val="Arial Black"/>
    </font>
    <font>
      <sz val="28"/>
      <color indexed="12"/>
      <name val="Arial Black"/>
    </font>
    <font>
      <sz val="12"/>
      <color indexed="17"/>
      <name val="Arial"/>
    </font>
    <font>
      <b/>
      <sz val="12"/>
      <name val="Arial"/>
    </font>
    <font>
      <sz val="12"/>
      <color indexed="53"/>
      <name val="Arial"/>
    </font>
    <font>
      <vertAlign val="subscript"/>
      <sz val="12"/>
      <name val="Arial"/>
    </font>
    <font>
      <sz val="12"/>
      <name val="Symbol"/>
      <family val="1"/>
    </font>
    <font>
      <b/>
      <sz val="12"/>
      <name val="Symbol"/>
      <family val="1"/>
    </font>
    <font>
      <b/>
      <vertAlign val="subscript"/>
      <sz val="12"/>
      <name val="Arial"/>
    </font>
    <font>
      <sz val="12"/>
      <color rgb="FFFF0000"/>
      <name val="Arial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10"/>
      <color theme="0" tint="-0.14999847407452621"/>
      <name val="Arial"/>
    </font>
    <font>
      <sz val="12"/>
      <color theme="0" tint="-0.14999847407452621"/>
      <name val="Arial"/>
    </font>
    <font>
      <sz val="12"/>
      <name val="Courier"/>
    </font>
    <font>
      <vertAlign val="subscript"/>
      <sz val="12"/>
      <name val="Arial Black"/>
    </font>
    <font>
      <sz val="10"/>
      <name val="Arial"/>
    </font>
    <font>
      <sz val="11"/>
      <name val="Arial"/>
    </font>
    <font>
      <b/>
      <sz val="11"/>
      <name val="Arial"/>
    </font>
    <font>
      <sz val="10"/>
      <color theme="1" tint="0.34998626667073579"/>
      <name val="Arial"/>
    </font>
    <font>
      <vertAlign val="subscript"/>
      <sz val="10"/>
      <color theme="1" tint="0.3499862666707357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rgb="FFFF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D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1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0" xfId="0" applyFont="1"/>
    <xf numFmtId="0" fontId="2" fillId="0" borderId="6" xfId="0" applyFont="1" applyBorder="1"/>
    <xf numFmtId="0" fontId="2" fillId="0" borderId="9" xfId="0" applyFont="1" applyBorder="1"/>
    <xf numFmtId="0" fontId="6" fillId="0" borderId="0" xfId="0" applyFont="1"/>
    <xf numFmtId="164" fontId="6" fillId="0" borderId="12" xfId="0" applyNumberFormat="1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4" fontId="2" fillId="0" borderId="12" xfId="0" applyNumberFormat="1" applyFont="1" applyBorder="1"/>
    <xf numFmtId="2" fontId="2" fillId="0" borderId="12" xfId="0" applyNumberFormat="1" applyFont="1" applyBorder="1"/>
    <xf numFmtId="0" fontId="6" fillId="0" borderId="12" xfId="0" applyFont="1" applyBorder="1"/>
    <xf numFmtId="0" fontId="2" fillId="0" borderId="0" xfId="0" applyFont="1" applyBorder="1"/>
    <xf numFmtId="164" fontId="6" fillId="0" borderId="1" xfId="0" applyNumberFormat="1" applyFont="1" applyBorder="1"/>
    <xf numFmtId="0" fontId="6" fillId="0" borderId="12" xfId="0" applyFont="1" applyBorder="1" applyAlignment="1">
      <alignment horizontal="center"/>
    </xf>
    <xf numFmtId="0" fontId="2" fillId="0" borderId="13" xfId="0" applyFont="1" applyBorder="1"/>
    <xf numFmtId="164" fontId="6" fillId="0" borderId="0" xfId="0" applyNumberFormat="1" applyFont="1" applyBorder="1"/>
    <xf numFmtId="0" fontId="2" fillId="0" borderId="1" xfId="0" applyFont="1" applyBorder="1"/>
    <xf numFmtId="0" fontId="2" fillId="0" borderId="11" xfId="0" applyFont="1" applyBorder="1"/>
    <xf numFmtId="0" fontId="10" fillId="0" borderId="6" xfId="0" applyFont="1" applyBorder="1" applyAlignment="1">
      <alignment horizontal="center"/>
    </xf>
    <xf numFmtId="164" fontId="6" fillId="0" borderId="6" xfId="0" applyNumberFormat="1" applyFont="1" applyBorder="1"/>
    <xf numFmtId="164" fontId="6" fillId="0" borderId="8" xfId="0" applyNumberFormat="1" applyFont="1" applyBorder="1"/>
    <xf numFmtId="0" fontId="2" fillId="0" borderId="5" xfId="0" applyFont="1" applyBorder="1"/>
    <xf numFmtId="164" fontId="6" fillId="0" borderId="5" xfId="0" applyNumberFormat="1" applyFont="1" applyBorder="1"/>
    <xf numFmtId="164" fontId="2" fillId="0" borderId="3" xfId="0" applyNumberFormat="1" applyFont="1" applyBorder="1"/>
    <xf numFmtId="164" fontId="2" fillId="0" borderId="1" xfId="0" applyNumberFormat="1" applyFont="1" applyBorder="1"/>
    <xf numFmtId="2" fontId="2" fillId="0" borderId="0" xfId="0" applyNumberFormat="1" applyFont="1" applyBorder="1"/>
    <xf numFmtId="2" fontId="2" fillId="0" borderId="5" xfId="0" applyNumberFormat="1" applyFont="1" applyBorder="1"/>
    <xf numFmtId="0" fontId="12" fillId="0" borderId="0" xfId="0" applyFont="1"/>
    <xf numFmtId="0" fontId="2" fillId="0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16" fillId="2" borderId="0" xfId="0" applyFont="1" applyFill="1"/>
    <xf numFmtId="0" fontId="2" fillId="2" borderId="0" xfId="0" applyFont="1" applyFill="1"/>
    <xf numFmtId="0" fontId="6" fillId="3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3" borderId="5" xfId="0" applyFont="1" applyFill="1" applyBorder="1" applyAlignment="1" applyProtection="1">
      <alignment horizontal="center"/>
      <protection locked="0"/>
    </xf>
    <xf numFmtId="0" fontId="0" fillId="0" borderId="8" xfId="0" applyBorder="1"/>
    <xf numFmtId="0" fontId="2" fillId="0" borderId="3" xfId="0" applyNumberFormat="1" applyFont="1" applyBorder="1"/>
    <xf numFmtId="0" fontId="19" fillId="0" borderId="0" xfId="0" applyFont="1"/>
    <xf numFmtId="0" fontId="20" fillId="0" borderId="1" xfId="0" applyFont="1" applyBorder="1"/>
    <xf numFmtId="0" fontId="20" fillId="0" borderId="12" xfId="0" applyFont="1" applyBorder="1"/>
    <xf numFmtId="164" fontId="21" fillId="0" borderId="12" xfId="0" applyNumberFormat="1" applyFont="1" applyBorder="1"/>
    <xf numFmtId="164" fontId="21" fillId="0" borderId="1" xfId="0" applyNumberFormat="1" applyFont="1" applyBorder="1"/>
    <xf numFmtId="164" fontId="20" fillId="0" borderId="12" xfId="0" applyNumberFormat="1" applyFont="1" applyBorder="1"/>
    <xf numFmtId="2" fontId="20" fillId="0" borderId="12" xfId="0" applyNumberFormat="1" applyFont="1" applyBorder="1"/>
    <xf numFmtId="0" fontId="20" fillId="0" borderId="0" xfId="0" applyFont="1"/>
    <xf numFmtId="164" fontId="21" fillId="0" borderId="5" xfId="0" applyNumberFormat="1" applyFont="1" applyBorder="1"/>
    <xf numFmtId="164" fontId="21" fillId="0" borderId="6" xfId="0" applyNumberFormat="1" applyFont="1" applyBorder="1"/>
    <xf numFmtId="0" fontId="2" fillId="4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3" xfId="0" applyFont="1" applyFill="1" applyBorder="1"/>
    <xf numFmtId="0" fontId="2" fillId="5" borderId="15" xfId="0" applyFont="1" applyFill="1" applyBorder="1"/>
    <xf numFmtId="0" fontId="1" fillId="5" borderId="13" xfId="0" applyFont="1" applyFill="1" applyBorder="1" applyAlignment="1">
      <alignment horizontal="left"/>
    </xf>
    <xf numFmtId="0" fontId="0" fillId="3" borderId="0" xfId="0" applyFill="1" applyBorder="1"/>
    <xf numFmtId="0" fontId="0" fillId="3" borderId="6" xfId="0" applyFill="1" applyBorder="1"/>
    <xf numFmtId="0" fontId="2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6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2" fillId="0" borderId="8" xfId="0" applyFont="1" applyBorder="1"/>
    <xf numFmtId="0" fontId="2" fillId="3" borderId="0" xfId="0" applyFont="1" applyFill="1" applyBorder="1" applyAlignment="1">
      <alignment horizontal="center"/>
    </xf>
  </cellXfs>
  <cellStyles count="2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Normal" xfId="0" builtinId="0"/>
  </cellStyles>
  <dxfs count="3"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"/>
  <sheetViews>
    <sheetView tabSelected="1" showRuler="0" workbookViewId="0">
      <selection activeCell="U37" sqref="U37"/>
    </sheetView>
  </sheetViews>
  <sheetFormatPr baseColWidth="10" defaultColWidth="10" defaultRowHeight="15" x14ac:dyDescent="0"/>
  <cols>
    <col min="1" max="1" width="3.83203125" style="2" customWidth="1"/>
    <col min="2" max="5" width="9" style="2" customWidth="1"/>
    <col min="6" max="8" width="11.6640625" style="2" customWidth="1"/>
    <col min="9" max="13" width="9" style="2" customWidth="1"/>
    <col min="14" max="16" width="9.83203125" style="2" customWidth="1"/>
    <col min="17" max="17" width="9" style="2" customWidth="1"/>
    <col min="18" max="20" width="9.83203125" style="2" customWidth="1"/>
    <col min="21" max="21" width="9" style="2" customWidth="1"/>
    <col min="22" max="22" width="9.33203125" style="2" customWidth="1"/>
    <col min="23" max="47" width="0.1640625" style="2" hidden="1" customWidth="1"/>
    <col min="48" max="48" width="9.33203125" style="2" customWidth="1"/>
    <col min="49" max="16384" width="10" style="2"/>
  </cols>
  <sheetData>
    <row r="1" spans="2:22" ht="41">
      <c r="B1" s="20" t="s">
        <v>107</v>
      </c>
    </row>
    <row r="2" spans="2:22">
      <c r="B2" s="21" t="s">
        <v>106</v>
      </c>
      <c r="H2" s="27" t="s">
        <v>32</v>
      </c>
    </row>
    <row r="3" spans="2:22">
      <c r="L3" s="90" t="s">
        <v>34</v>
      </c>
    </row>
    <row r="4" spans="2:22" ht="18">
      <c r="B4" s="4" t="s">
        <v>17</v>
      </c>
      <c r="L4" s="90" t="s">
        <v>76</v>
      </c>
    </row>
    <row r="5" spans="2:22">
      <c r="B5" s="1">
        <v>1</v>
      </c>
      <c r="C5" s="2" t="s">
        <v>82</v>
      </c>
      <c r="L5" s="90" t="s">
        <v>77</v>
      </c>
    </row>
    <row r="6" spans="2:22">
      <c r="B6" s="1">
        <v>2</v>
      </c>
      <c r="C6" s="2" t="s">
        <v>80</v>
      </c>
      <c r="L6" s="90" t="s">
        <v>79</v>
      </c>
    </row>
    <row r="7" spans="2:22">
      <c r="B7" s="1">
        <v>3</v>
      </c>
      <c r="C7" s="2" t="s">
        <v>81</v>
      </c>
      <c r="L7" s="90" t="s">
        <v>108</v>
      </c>
      <c r="N7"/>
      <c r="O7"/>
      <c r="P7"/>
    </row>
    <row r="8" spans="2:22">
      <c r="B8" s="1"/>
      <c r="N8"/>
      <c r="O8"/>
      <c r="P8"/>
      <c r="R8" s="55"/>
      <c r="S8" s="55"/>
      <c r="T8" s="55"/>
    </row>
    <row r="9" spans="2:22">
      <c r="R9" s="55"/>
      <c r="S9" s="55"/>
      <c r="T9" s="55"/>
      <c r="U9" s="1"/>
    </row>
    <row r="10" spans="2:22" ht="18">
      <c r="B10" s="5" t="s">
        <v>10</v>
      </c>
      <c r="C10" s="6" t="s">
        <v>11</v>
      </c>
      <c r="D10" s="7" t="s">
        <v>12</v>
      </c>
      <c r="E10" s="3"/>
      <c r="F10" s="5" t="s">
        <v>7</v>
      </c>
      <c r="G10" s="6" t="s">
        <v>8</v>
      </c>
      <c r="H10" s="7" t="s">
        <v>9</v>
      </c>
      <c r="I10" s="3"/>
      <c r="J10" s="5" t="s">
        <v>10</v>
      </c>
      <c r="K10" s="6" t="s">
        <v>11</v>
      </c>
      <c r="L10" s="7" t="s">
        <v>12</v>
      </c>
      <c r="M10" s="3"/>
      <c r="N10" s="5" t="s">
        <v>18</v>
      </c>
      <c r="O10" s="6" t="s">
        <v>15</v>
      </c>
      <c r="P10" s="7" t="s">
        <v>16</v>
      </c>
      <c r="R10" s="5" t="s">
        <v>10</v>
      </c>
      <c r="S10" s="6" t="s">
        <v>11</v>
      </c>
      <c r="T10" s="7" t="s">
        <v>12</v>
      </c>
      <c r="V10" s="22" t="s">
        <v>78</v>
      </c>
    </row>
    <row r="11" spans="2:22" ht="18">
      <c r="B11" s="8"/>
      <c r="C11" s="9" t="s">
        <v>13</v>
      </c>
      <c r="D11" s="10"/>
      <c r="E11" s="1"/>
      <c r="F11" s="14"/>
      <c r="G11" s="9" t="s">
        <v>23</v>
      </c>
      <c r="H11" s="10"/>
      <c r="I11" s="1"/>
      <c r="J11" s="14"/>
      <c r="K11" s="9" t="s">
        <v>22</v>
      </c>
      <c r="L11" s="15"/>
      <c r="M11" s="1"/>
      <c r="N11" s="17"/>
      <c r="O11" s="9" t="s">
        <v>23</v>
      </c>
      <c r="P11" s="28"/>
      <c r="R11" s="17"/>
      <c r="S11" s="9" t="s">
        <v>33</v>
      </c>
      <c r="T11" s="28"/>
      <c r="V11" s="44"/>
    </row>
    <row r="12" spans="2:22">
      <c r="B12" s="62">
        <v>100</v>
      </c>
      <c r="C12" s="62">
        <v>0</v>
      </c>
      <c r="D12" s="62">
        <v>0</v>
      </c>
      <c r="E12" s="1" t="s">
        <v>14</v>
      </c>
      <c r="F12" s="62">
        <f xml:space="preserve"> IF( (C12/500+(B12+16)/116)&gt; (6/29), 96.42 * (C12/500+(B12+16)/116)^3,  96.42*(108/841)*((C12/500+(B12+16)/116) - 4/29))</f>
        <v>96.42</v>
      </c>
      <c r="G12" s="62">
        <f xml:space="preserve"> IF(B12 &gt; 8, 100 * ((B12+16)/116)^3, 100*(108/841)*((B12+16)/116-4/29))</f>
        <v>100</v>
      </c>
      <c r="H12" s="62">
        <f>IF(((B12+16)/116-D12/200)&gt;(6/29),82.52*((B12+16)/116-D12/200)^3,82.52*(108/841)*((B12+16)/116-D12/200-4/29))</f>
        <v>82.52</v>
      </c>
      <c r="I12" s="1" t="s">
        <v>14</v>
      </c>
      <c r="J12" s="62">
        <f xml:space="preserve"> 116* IF( (G12/100) &gt; (6/29)^3, (G12/100)^(1/3), (841/108)*(G12/100)+4/29) - 16</f>
        <v>100</v>
      </c>
      <c r="K12" s="62">
        <f>500* ( IF( (F12/96.42)&gt;(6/29)^3, (F12/96.42)^(1/3), (841/108)*(F12/96.42)+4/29) - IF( (G12/100)&gt;(6/29)^3, (G12/100)^(1/3), (841/108)*(G12/100)+4/29) )</f>
        <v>0</v>
      </c>
      <c r="L12" s="62">
        <f>200* ( IF( (G12/100)&gt;(6/29)^3, (G12/100)^(1/3), (841/108)*(G12/100)+4/29) - IF( (H12/82.52)&gt;(6/29)^3, (H12/82.52)^(1/3), (841/108)*(H12/82.52)+4/29) )</f>
        <v>0</v>
      </c>
      <c r="M12" s="1" t="s">
        <v>14</v>
      </c>
      <c r="N12" s="62">
        <f>J12</f>
        <v>100</v>
      </c>
      <c r="O12" s="62">
        <f>ROUND((L12^2+K12^2)^0.5,3)</f>
        <v>0</v>
      </c>
      <c r="P12" s="62">
        <f>ROUND(IF(DEGREES(ATAN2(K12,IF(L12=0,0.00000001,L12)))&gt;360, DEGREES(ATAN2(K12,IF(L12=0,0.00000001,L12)))-360,IF(DEGREES(ATAN2(K12,IF(L12=0,0.00000001,L12)))&lt;0,DEGREES(ATAN2(K12,IF(L12=0,0.00000001,L12)))+360,DEGREES(ATAN2(K12,IF(L12=0,0.00000001,L12))))),3)</f>
        <v>90</v>
      </c>
      <c r="Q12" s="1" t="s">
        <v>14</v>
      </c>
      <c r="R12" s="62">
        <f>N12</f>
        <v>100</v>
      </c>
      <c r="S12" s="62">
        <f>ROUND(COS(RADIANS(P12))*O12,3)</f>
        <v>0</v>
      </c>
      <c r="T12" s="62">
        <f>ROUND(SIN(RADIANS(P12))*O12,3)</f>
        <v>0</v>
      </c>
      <c r="U12" s="1" t="s">
        <v>14</v>
      </c>
      <c r="V12" s="62">
        <f>IF(S12=0,90,DEGREES(ATAN(T12/S12)))</f>
        <v>90</v>
      </c>
    </row>
    <row r="13" spans="2:22" ht="18">
      <c r="B13" s="11"/>
      <c r="C13" s="12"/>
      <c r="D13" s="13"/>
      <c r="E13" s="1"/>
      <c r="F13" s="11"/>
      <c r="G13" s="12"/>
      <c r="H13" s="13"/>
      <c r="I13" s="1"/>
      <c r="J13" s="11"/>
      <c r="K13" s="12"/>
      <c r="L13" s="13"/>
      <c r="M13" s="1"/>
      <c r="N13" s="16"/>
      <c r="O13" s="12"/>
      <c r="P13" s="29"/>
      <c r="R13" s="16"/>
      <c r="S13" s="12"/>
      <c r="T13" s="29"/>
      <c r="V13" s="45"/>
    </row>
    <row r="14" spans="2:22">
      <c r="C14" s="1" t="s">
        <v>31</v>
      </c>
      <c r="N14" s="1"/>
      <c r="O14" s="1"/>
      <c r="P14" s="1"/>
      <c r="Q14" s="56"/>
      <c r="R14" s="55"/>
      <c r="S14" s="55"/>
      <c r="T14" s="55"/>
    </row>
    <row r="15" spans="2:22" ht="18">
      <c r="B15" s="5" t="s">
        <v>7</v>
      </c>
      <c r="C15" s="6" t="s">
        <v>8</v>
      </c>
      <c r="D15" s="7" t="s">
        <v>9</v>
      </c>
      <c r="F15" s="5" t="s">
        <v>18</v>
      </c>
      <c r="G15" s="6" t="s">
        <v>19</v>
      </c>
      <c r="H15" s="7" t="s">
        <v>20</v>
      </c>
      <c r="J15" s="5" t="s">
        <v>7</v>
      </c>
      <c r="K15" s="6" t="s">
        <v>8</v>
      </c>
      <c r="L15" s="7" t="s">
        <v>9</v>
      </c>
      <c r="N15" s="57" t="s">
        <v>18</v>
      </c>
      <c r="O15" s="57" t="s">
        <v>19</v>
      </c>
      <c r="P15" s="57" t="s">
        <v>20</v>
      </c>
      <c r="Q15" s="58"/>
      <c r="R15" s="57" t="s">
        <v>7</v>
      </c>
      <c r="S15" s="57" t="s">
        <v>8</v>
      </c>
      <c r="T15" s="57" t="s">
        <v>9</v>
      </c>
    </row>
    <row r="16" spans="2:22">
      <c r="B16" s="14"/>
      <c r="C16" s="9" t="s">
        <v>23</v>
      </c>
      <c r="D16" s="10"/>
      <c r="F16" s="14"/>
      <c r="G16" s="9" t="s">
        <v>22</v>
      </c>
      <c r="H16" s="10"/>
      <c r="J16" s="14"/>
      <c r="K16" s="9" t="s">
        <v>21</v>
      </c>
      <c r="L16" s="10"/>
      <c r="N16" s="58">
        <v>0.38971</v>
      </c>
      <c r="O16" s="58">
        <v>0.68898000000000004</v>
      </c>
      <c r="P16" s="58">
        <v>-7.868E-2</v>
      </c>
      <c r="Q16" s="58"/>
      <c r="R16" s="58">
        <f t="array" ref="R16:T18">MINVERSE(N16:P18)</f>
        <v>1.910196834052035</v>
      </c>
      <c r="S16" s="58">
        <v>-1.1121238927878747</v>
      </c>
      <c r="T16" s="58">
        <v>0.20190795676749937</v>
      </c>
    </row>
    <row r="17" spans="2:57">
      <c r="B17" s="62">
        <f>IF( (C12/500+(B12+16)/116)&gt; (6/29), 96.42 * (C12/500+(B12+16)/116)^3,  96.42*(108/841)*((C12/500+(B12+16)/116) - 4/29))</f>
        <v>96.42</v>
      </c>
      <c r="C17" s="62">
        <f>IF(B12 &gt; 8, 100 * ((B12+16)/116)^3, 100*(108/841)*((B12+16)/116-4/29))</f>
        <v>100</v>
      </c>
      <c r="D17" s="62">
        <f>IF(((B12+16)/116-D12/200)&gt;(6/29),82.52*((B12+16)/116-D12/200)^3,82.52*(108/841)*((B12+16)/116-D12/200-4/29))</f>
        <v>82.52</v>
      </c>
      <c r="E17" s="1" t="s">
        <v>14</v>
      </c>
      <c r="F17" s="62">
        <f>(B17*0.38971+C17*0.68898+D17*-0.07868)</f>
        <v>99.981164600000014</v>
      </c>
      <c r="G17" s="62">
        <f>(B17*-0.22981+C17*1.1834+D17*0.04641)</f>
        <v>100.011473</v>
      </c>
      <c r="H17" s="62">
        <f>D17</f>
        <v>82.52</v>
      </c>
      <c r="I17" s="1" t="s">
        <v>14</v>
      </c>
      <c r="J17" s="62">
        <f>F17*1.910196834+G17*-1.112123893+H17*0.201907957</f>
        <v>96.419999992768538</v>
      </c>
      <c r="K17" s="62">
        <f>F17*0.370950088+G17*0.629054257+H17*-0.0000066447</f>
        <v>100.00011632555903</v>
      </c>
      <c r="L17" s="62">
        <f>H17</f>
        <v>82.52</v>
      </c>
      <c r="N17" s="58">
        <v>-0.22980999999999999</v>
      </c>
      <c r="O17" s="58">
        <v>1.1834</v>
      </c>
      <c r="P17" s="58">
        <v>4.641E-2</v>
      </c>
      <c r="Q17" s="58"/>
      <c r="R17" s="58">
        <v>0.37095008824868858</v>
      </c>
      <c r="S17" s="58">
        <v>0.62905425739261323</v>
      </c>
      <c r="T17" s="58">
        <v>-8.0551421843613255E-6</v>
      </c>
    </row>
    <row r="18" spans="2:57">
      <c r="B18" s="11"/>
      <c r="C18" s="12"/>
      <c r="D18" s="13"/>
      <c r="F18" s="11"/>
      <c r="G18" s="12"/>
      <c r="H18" s="13"/>
      <c r="J18" s="11"/>
      <c r="K18" s="12"/>
      <c r="L18" s="13"/>
      <c r="N18" s="58">
        <v>0</v>
      </c>
      <c r="O18" s="58">
        <v>0</v>
      </c>
      <c r="P18" s="58">
        <v>1</v>
      </c>
      <c r="Q18" s="58"/>
      <c r="R18" s="58">
        <v>0</v>
      </c>
      <c r="S18" s="58">
        <v>0</v>
      </c>
      <c r="T18" s="58">
        <v>1</v>
      </c>
    </row>
    <row r="19" spans="2:57">
      <c r="C19" s="1" t="s">
        <v>31</v>
      </c>
    </row>
    <row r="20" spans="2:57" ht="18">
      <c r="B20" s="5" t="s">
        <v>7</v>
      </c>
      <c r="C20" s="6" t="s">
        <v>8</v>
      </c>
      <c r="D20" s="7" t="s">
        <v>9</v>
      </c>
      <c r="F20" s="22" t="s">
        <v>27</v>
      </c>
      <c r="H20" s="22" t="s">
        <v>74</v>
      </c>
      <c r="J20" s="22" t="s">
        <v>8</v>
      </c>
      <c r="K20"/>
      <c r="L20"/>
    </row>
    <row r="21" spans="2:57">
      <c r="B21" s="14"/>
      <c r="C21" s="9" t="s">
        <v>23</v>
      </c>
      <c r="D21" s="10"/>
      <c r="F21" s="18" t="s">
        <v>28</v>
      </c>
      <c r="H21" s="18" t="s">
        <v>73</v>
      </c>
      <c r="J21" s="18" t="s">
        <v>75</v>
      </c>
      <c r="K21"/>
      <c r="L21"/>
    </row>
    <row r="22" spans="2:57">
      <c r="B22" s="62">
        <f>IF( (C12/500+(B12+16)/116)&gt; (6/29), 96.42 * (C12/500+(B12+16)/116)^3,  96.42*(108/841)*((C12/500+(B12+16)/116) - 4/29))</f>
        <v>96.42</v>
      </c>
      <c r="C22" s="62">
        <f>IF(B12 &gt; 8, 100 * ((B12+16)/116)^3, 100*(108/841)*((B12+16)/116-4/29))</f>
        <v>100</v>
      </c>
      <c r="D22" s="62">
        <f>IF(((B12+16)/116-D12/200)&gt;(6/29),82.52*((B12+16)/116-D12/200)^3,82.52*(108/841)*((B12+16)/116-D12/200-4/29))</f>
        <v>82.52</v>
      </c>
      <c r="E22" s="1" t="s">
        <v>14</v>
      </c>
      <c r="F22" s="62">
        <f>IF(C22&gt;0,LOG10(100/C22),"inf")</f>
        <v>0</v>
      </c>
      <c r="G22" s="63" t="s">
        <v>14</v>
      </c>
      <c r="H22" s="62">
        <f>100-1/10^(F22)*100</f>
        <v>0</v>
      </c>
      <c r="I22" s="64" t="s">
        <v>14</v>
      </c>
      <c r="J22" s="62">
        <f>100-H22</f>
        <v>100</v>
      </c>
      <c r="K22" s="64"/>
      <c r="L22" s="64"/>
    </row>
    <row r="23" spans="2:57" ht="18">
      <c r="B23" s="11"/>
      <c r="C23" s="12"/>
      <c r="D23" s="13"/>
      <c r="F23" s="23"/>
      <c r="H23" s="23"/>
      <c r="J23" s="23"/>
      <c r="K23"/>
      <c r="L23"/>
      <c r="S23" s="19"/>
      <c r="U23" s="24"/>
    </row>
    <row r="24" spans="2:57">
      <c r="C24" s="1" t="s">
        <v>31</v>
      </c>
    </row>
    <row r="25" spans="2:57" ht="18">
      <c r="B25" s="5" t="s">
        <v>7</v>
      </c>
      <c r="C25" s="6" t="s">
        <v>8</v>
      </c>
      <c r="D25" s="7" t="s">
        <v>9</v>
      </c>
      <c r="F25" s="5" t="s">
        <v>8</v>
      </c>
      <c r="G25" s="6" t="s">
        <v>24</v>
      </c>
      <c r="H25" s="7" t="s">
        <v>25</v>
      </c>
      <c r="J25" s="5" t="s">
        <v>7</v>
      </c>
      <c r="K25" s="6" t="s">
        <v>8</v>
      </c>
      <c r="L25" s="7" t="s">
        <v>9</v>
      </c>
    </row>
    <row r="26" spans="2:57">
      <c r="B26" s="14"/>
      <c r="C26" s="9" t="s">
        <v>23</v>
      </c>
      <c r="D26" s="10"/>
      <c r="F26" s="14"/>
      <c r="G26" s="9" t="s">
        <v>22</v>
      </c>
      <c r="H26" s="10"/>
      <c r="J26" s="14"/>
      <c r="K26" s="9" t="s">
        <v>26</v>
      </c>
      <c r="L26" s="10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2:57">
      <c r="B27" s="62">
        <f xml:space="preserve"> IF( (C12/500+(B12+16)/116)&gt; (6/29), 96.42 * (C12/500+(B12+16)/116)^3,  96.42*(108/841)*((C12/500+(B12+16)/116) - 4/29))</f>
        <v>96.42</v>
      </c>
      <c r="C27" s="62">
        <f xml:space="preserve"> IF(B12 &gt; 8, 100 * ((B12+16)/116)^3, 100*(108/841)*((B12+16)/116-4/29))</f>
        <v>100</v>
      </c>
      <c r="D27" s="62">
        <f>IF(((B12+16)/116-D12/200)&gt;(6/29),82.52*((B12+16)/116-D12/200)^3,82.52*(108/841)*((B12+16)/116-D12/200-4/29))</f>
        <v>82.52</v>
      </c>
      <c r="E27" s="1" t="s">
        <v>14</v>
      </c>
      <c r="F27" s="62">
        <f>C27</f>
        <v>100</v>
      </c>
      <c r="G27" s="62">
        <f>IF((B27+C27+D27)=0,0,B27/(B27+C27+D27))</f>
        <v>0.34566573456657346</v>
      </c>
      <c r="H27" s="62">
        <f>IF((B27+C27+D27)=0,0,C27/(B27+C27+D27))</f>
        <v>0.35850003585000356</v>
      </c>
      <c r="I27" s="1" t="s">
        <v>14</v>
      </c>
      <c r="J27" s="62">
        <f>G27*(F27/H27)</f>
        <v>96.42</v>
      </c>
      <c r="K27" s="62">
        <f>F27</f>
        <v>100</v>
      </c>
      <c r="L27" s="62">
        <f>(1-G27-H27)*(F27/H27)</f>
        <v>82.52000000000001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  <row r="28" spans="2:57">
      <c r="B28" s="11"/>
      <c r="C28" s="12"/>
      <c r="D28" s="13"/>
      <c r="F28" s="11"/>
      <c r="G28" s="12"/>
      <c r="H28" s="13"/>
      <c r="J28" s="11"/>
      <c r="K28" s="12"/>
      <c r="L28" s="13"/>
      <c r="N28" s="94" t="s">
        <v>109</v>
      </c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6"/>
      <c r="AW28"/>
      <c r="AX28"/>
      <c r="AY28"/>
      <c r="AZ28"/>
      <c r="BA28"/>
      <c r="BB28"/>
      <c r="BC28"/>
      <c r="BD28"/>
      <c r="BE28"/>
    </row>
    <row r="29" spans="2:57">
      <c r="N29" s="91"/>
      <c r="O29" s="92" t="s">
        <v>104</v>
      </c>
      <c r="P29" s="93"/>
      <c r="Q29" s="91"/>
      <c r="R29" s="92" t="s">
        <v>103</v>
      </c>
      <c r="S29" s="93"/>
      <c r="T29" s="39"/>
      <c r="U29" s="84"/>
      <c r="V29" s="87" t="s">
        <v>105</v>
      </c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6"/>
    </row>
    <row r="30" spans="2:57" ht="20">
      <c r="B30" s="22" t="s">
        <v>10</v>
      </c>
      <c r="D30" s="22" t="s">
        <v>27</v>
      </c>
      <c r="F30" s="22" t="s">
        <v>10</v>
      </c>
      <c r="G30" s="7" t="s">
        <v>8</v>
      </c>
      <c r="I30" s="3"/>
      <c r="N30" s="5" t="s">
        <v>84</v>
      </c>
      <c r="O30" s="6" t="s">
        <v>85</v>
      </c>
      <c r="P30" s="7" t="s">
        <v>86</v>
      </c>
      <c r="Q30" s="5" t="s">
        <v>87</v>
      </c>
      <c r="R30" s="6" t="s">
        <v>88</v>
      </c>
      <c r="S30" s="7" t="s">
        <v>89</v>
      </c>
      <c r="T30" s="39"/>
      <c r="U30" s="5" t="s">
        <v>83</v>
      </c>
      <c r="V30" s="22" t="s">
        <v>90</v>
      </c>
      <c r="W30" s="22" t="s">
        <v>90</v>
      </c>
      <c r="X30" s="22" t="s">
        <v>90</v>
      </c>
      <c r="Y30" s="22" t="s">
        <v>90</v>
      </c>
      <c r="Z30" s="22" t="s">
        <v>90</v>
      </c>
      <c r="AA30" s="22" t="s">
        <v>90</v>
      </c>
      <c r="AB30" s="22" t="s">
        <v>90</v>
      </c>
      <c r="AC30" s="22" t="s">
        <v>90</v>
      </c>
      <c r="AD30" s="22" t="s">
        <v>90</v>
      </c>
      <c r="AE30" s="22" t="s">
        <v>90</v>
      </c>
      <c r="AF30" s="22" t="s">
        <v>90</v>
      </c>
      <c r="AG30" s="22" t="s">
        <v>90</v>
      </c>
      <c r="AH30" s="22" t="s">
        <v>90</v>
      </c>
      <c r="AI30" s="22" t="s">
        <v>90</v>
      </c>
      <c r="AJ30" s="22" t="s">
        <v>90</v>
      </c>
      <c r="AK30" s="22" t="s">
        <v>90</v>
      </c>
      <c r="AL30" s="22" t="s">
        <v>90</v>
      </c>
      <c r="AM30" s="22" t="s">
        <v>90</v>
      </c>
      <c r="AN30" s="22" t="s">
        <v>90</v>
      </c>
      <c r="AO30" s="22" t="s">
        <v>90</v>
      </c>
      <c r="AP30" s="22" t="s">
        <v>90</v>
      </c>
      <c r="AQ30" s="22" t="s">
        <v>90</v>
      </c>
      <c r="AR30" s="22" t="s">
        <v>90</v>
      </c>
      <c r="AS30" s="22" t="s">
        <v>90</v>
      </c>
      <c r="AT30" s="22" t="s">
        <v>90</v>
      </c>
      <c r="AU30" s="22" t="s">
        <v>90</v>
      </c>
      <c r="AV30" s="22" t="s">
        <v>90</v>
      </c>
    </row>
    <row r="31" spans="2:57" ht="18">
      <c r="B31" s="25"/>
      <c r="D31" s="18" t="s">
        <v>28</v>
      </c>
      <c r="F31" s="18"/>
      <c r="G31" s="10" t="s">
        <v>73</v>
      </c>
      <c r="I31" s="1"/>
      <c r="N31" s="14"/>
      <c r="O31" s="9"/>
      <c r="P31" s="15"/>
      <c r="Q31" s="14"/>
      <c r="R31" s="9"/>
      <c r="S31" s="15"/>
      <c r="T31" s="39"/>
      <c r="U31" s="14"/>
      <c r="V31" s="18" t="s">
        <v>110</v>
      </c>
      <c r="W31" s="82" t="s">
        <v>50</v>
      </c>
      <c r="X31" s="82" t="s">
        <v>51</v>
      </c>
      <c r="Y31" s="82" t="s">
        <v>51</v>
      </c>
      <c r="Z31" s="82" t="s">
        <v>52</v>
      </c>
      <c r="AA31" s="82" t="s">
        <v>40</v>
      </c>
      <c r="AB31" s="82" t="s">
        <v>41</v>
      </c>
      <c r="AC31" s="82" t="s">
        <v>42</v>
      </c>
      <c r="AD31" s="82" t="s">
        <v>41</v>
      </c>
      <c r="AE31" s="82" t="s">
        <v>42</v>
      </c>
      <c r="AF31" s="82" t="s">
        <v>53</v>
      </c>
      <c r="AG31" s="82"/>
      <c r="AH31" s="82" t="s">
        <v>43</v>
      </c>
      <c r="AI31" s="82"/>
      <c r="AJ31" s="82" t="s">
        <v>43</v>
      </c>
      <c r="AK31" s="82" t="s">
        <v>54</v>
      </c>
      <c r="AL31" s="82" t="s">
        <v>44</v>
      </c>
      <c r="AM31" s="83" t="s">
        <v>55</v>
      </c>
      <c r="AN31" s="83" t="s">
        <v>56</v>
      </c>
      <c r="AO31" s="83" t="s">
        <v>57</v>
      </c>
      <c r="AP31" s="83" t="s">
        <v>58</v>
      </c>
      <c r="AQ31" s="82" t="s">
        <v>59</v>
      </c>
      <c r="AR31" s="82" t="s">
        <v>60</v>
      </c>
      <c r="AS31" s="82" t="s">
        <v>61</v>
      </c>
      <c r="AT31" s="83" t="s">
        <v>45</v>
      </c>
      <c r="AU31" s="82" t="s">
        <v>62</v>
      </c>
      <c r="AV31" s="10" t="s">
        <v>111</v>
      </c>
    </row>
    <row r="32" spans="2:57">
      <c r="B32" s="62">
        <f>B12</f>
        <v>100</v>
      </c>
      <c r="C32" s="64" t="s">
        <v>14</v>
      </c>
      <c r="D32" s="62">
        <f>IF(IF((B32+16)/116&lt;6/29,100*108/841*((B32+16)/116-4/29),100*(((B32+16)/116)^3))&gt;0,LOG10(100/IF((B32+16)/116&lt;6/29,100*108/841*((B32+16)/116-4/29),100*(((B32+16)/116)^3))),"Inf")</f>
        <v>0</v>
      </c>
      <c r="E32" s="64" t="s">
        <v>14</v>
      </c>
      <c r="F32" s="62">
        <f>116*IF(1/10^(D32)&gt; 0.008856452, (1/10^(D32))^(1/3), 7.787037 *1/10^(D32) + 16/116)-16</f>
        <v>100</v>
      </c>
      <c r="G32" s="62">
        <f>1/10^(D32)*100</f>
        <v>100</v>
      </c>
      <c r="H32" s="64"/>
      <c r="I32" s="1"/>
      <c r="N32" s="62">
        <v>86.99</v>
      </c>
      <c r="O32" s="62">
        <v>0</v>
      </c>
      <c r="P32" s="62">
        <v>0</v>
      </c>
      <c r="Q32" s="62">
        <v>88.98</v>
      </c>
      <c r="R32" s="62">
        <v>0.02</v>
      </c>
      <c r="S32" s="62">
        <v>0</v>
      </c>
      <c r="T32" s="98" t="s">
        <v>14</v>
      </c>
      <c r="U32" s="67">
        <f>IF(Q32="","",SQRT((Q32-N32)^2+(R32-O32)^2+(S32-P32)^2))</f>
        <v>1.990100499974822</v>
      </c>
      <c r="V32" s="62">
        <f>((AN32/AQ32)^2+(AO32/AR32)^2+(AP32/AS32)^2+AU32*(AO32/AR32)*(AP32/AS32))^0.5</f>
        <v>1.2712152878889575</v>
      </c>
      <c r="W32" s="88">
        <f>(Q32+N32)/2</f>
        <v>87.984999999999999</v>
      </c>
      <c r="X32" s="88">
        <f>(O32^2+P32^2)^0.5</f>
        <v>0</v>
      </c>
      <c r="Y32" s="88">
        <f>(R32^2+S32^2)^0.5</f>
        <v>0.02</v>
      </c>
      <c r="Z32" s="88">
        <f>(X32+Y32)/2</f>
        <v>0.01</v>
      </c>
      <c r="AA32" s="88">
        <f>0.5*(1-((Z32^7)/(Z32^7+25^7))^0.5)</f>
        <v>0.49999999999936001</v>
      </c>
      <c r="AB32" s="88">
        <f>O32*(1+AA32)</f>
        <v>0</v>
      </c>
      <c r="AC32" s="88">
        <f>(AB32^2+P32^2)^0.5</f>
        <v>0</v>
      </c>
      <c r="AD32" s="88">
        <f>R32*(1+AA32)</f>
        <v>2.9999999999987204E-2</v>
      </c>
      <c r="AE32" s="88">
        <f>(AD32^2+S32^2)^0.5</f>
        <v>2.9999999999987204E-2</v>
      </c>
      <c r="AF32" s="88">
        <f>(AC32+AE32)/2</f>
        <v>1.4999999999993602E-2</v>
      </c>
      <c r="AG32" s="88">
        <f>ATAN2(AB32,IF(P32=0,0.000000001,P32))</f>
        <v>1.5707963267948966</v>
      </c>
      <c r="AH32" s="88">
        <f>IF((AG32)*180/PI()&lt;0,(AG32)*180/PI()+360,(AG32)*180/PI())</f>
        <v>90</v>
      </c>
      <c r="AI32" s="88">
        <f>ATAN2(AD32,IF(S32=0,0.00000001,S32))</f>
        <v>3.3333333333346321E-7</v>
      </c>
      <c r="AJ32" s="88">
        <f>IF((AI32)*180/PI()&lt;0,(AI32)*180/PI()+360,(AI32)*180/PI())</f>
        <v>1.9098593171034883E-5</v>
      </c>
      <c r="AK32" s="88">
        <f>IF(ABS(AH32-AJ32)&gt;180,(AH32+AJ32+360)/2,(AH32+AJ32)/2)</f>
        <v>45.000009549296585</v>
      </c>
      <c r="AL32" s="88">
        <f>1-0.17*COS((AK32-30)*PI()/180)+0.24*COS(2*AK32*PI()/180)+0.32*COS((3*AK32+6)*PI()/180)-0.2*COS((4*AK32-63)*PI()/180)</f>
        <v>0.67790394725536385</v>
      </c>
      <c r="AM32" s="88">
        <f>IF(ABS(AJ32-AH32)&gt;180,IF(AJ32=MIN(AJ32,AH32),AJ32-AH32+360,AJ32-AH32-360),AJ32-AH32)</f>
        <v>-89.999980901406829</v>
      </c>
      <c r="AN32" s="88">
        <f>Q32-N32</f>
        <v>1.9900000000000091</v>
      </c>
      <c r="AO32" s="88">
        <f>AE32-AC32</f>
        <v>2.9999999999987204E-2</v>
      </c>
      <c r="AP32" s="88">
        <f>2*(AE32*AC32)^0.5*SIN((PI()/180)*AM32/2)</f>
        <v>0</v>
      </c>
      <c r="AQ32" s="88">
        <f>1+(0.015*(W32-50)^2)/((20+(W32-50)^2)^0.5)</f>
        <v>1.5658666573786393</v>
      </c>
      <c r="AR32" s="88">
        <f>1+0.045*AF32</f>
        <v>1.0006749999999998</v>
      </c>
      <c r="AS32" s="88">
        <f>1+0.015*AF32*AL32</f>
        <v>1.0001525283881323</v>
      </c>
      <c r="AT32" s="88">
        <f>30*EXP(-1*((AK32-275)/25)^2)</f>
        <v>5.2292494424471144E-36</v>
      </c>
      <c r="AU32" s="88">
        <f>-2*(AF32^7/(AF32^7+25^7))^0.5*SIN(2*AT32*PI()/180)</f>
        <v>-1.9315506194710722E-48</v>
      </c>
      <c r="AV32" s="89"/>
      <c r="AW32"/>
      <c r="AX32"/>
      <c r="AY32"/>
      <c r="AZ32"/>
      <c r="BA32"/>
      <c r="BB32"/>
      <c r="BC32"/>
      <c r="BD32"/>
    </row>
    <row r="33" spans="1:48" ht="18">
      <c r="B33" s="26"/>
      <c r="D33" s="23"/>
      <c r="F33" s="26"/>
      <c r="G33" s="13"/>
      <c r="I33" s="1"/>
      <c r="N33" s="11"/>
      <c r="O33" s="12"/>
      <c r="P33" s="13"/>
      <c r="Q33" s="11"/>
      <c r="R33" s="12"/>
      <c r="S33" s="13"/>
      <c r="T33" s="97"/>
      <c r="U33" s="16"/>
      <c r="V33" s="23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29"/>
    </row>
    <row r="35" spans="1:48">
      <c r="B35" s="59" t="s">
        <v>29</v>
      </c>
      <c r="C35" s="60" t="str">
        <f>"IF(IF((L*+16)/116&lt;6/29,100*108/841*((L*+16)/116-4/29),100*(((L*+16)/116)^3))&gt;0,LOG10(100/IF((L*+16)/116&lt;6/29,100*108/841*((L*+16)/116-4/29),100*(((L*+16)/116)^3))),Infinity)"</f>
        <v>IF(IF((L*+16)/116&lt;6/29,100*108/841*((L*+16)/116-4/29),100*(((L*+16)/116)^3))&gt;0,LOG10(100/IF((L*+16)/116&lt;6/29,100*108/841*((L*+16)/116-4/29),100*(((L*+16)/116)^3))),Infinity)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</row>
    <row r="36" spans="1:48">
      <c r="B36" s="59" t="s">
        <v>30</v>
      </c>
      <c r="C36" s="60" t="str">
        <f>"116*IF(1/10^D&gt; 0.008856452, (1/10^D)^(1/3), 7.787037 *1/10^D + 16/116)-16"</f>
        <v>116*IF(1/10^D&gt; 0.008856452, (1/10^D)^(1/3), 7.787037 *1/10^D + 16/116)-16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X36" s="70"/>
      <c r="Y36" s="70"/>
      <c r="Z36" s="70"/>
      <c r="AA36" s="70"/>
      <c r="AB36" s="70"/>
      <c r="AC36" s="70"/>
      <c r="AH36" s="70"/>
      <c r="AI36" s="70"/>
      <c r="AJ36" s="70"/>
      <c r="AK36" s="70"/>
      <c r="AL36" s="70"/>
      <c r="AM36" s="70"/>
      <c r="AN36" s="70"/>
      <c r="AO36" s="70"/>
      <c r="AP36" s="70"/>
      <c r="AU36" s="70"/>
    </row>
    <row r="38" spans="1:48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8">
      <c r="L41" s="55"/>
      <c r="M41" s="66"/>
      <c r="O41" s="55"/>
      <c r="P41" s="55"/>
      <c r="Q41" s="55"/>
      <c r="R41" s="55"/>
      <c r="S41" s="55"/>
    </row>
    <row r="42" spans="1:48">
      <c r="L42" s="55"/>
      <c r="M42" s="66"/>
      <c r="O42" s="55"/>
      <c r="P42" s="55"/>
      <c r="Q42" s="55"/>
      <c r="R42" s="55"/>
      <c r="S42" s="55"/>
    </row>
    <row r="43" spans="1:48">
      <c r="L43" s="55"/>
      <c r="M43" s="65"/>
      <c r="O43" s="55"/>
      <c r="P43" s="55"/>
      <c r="Q43" s="55"/>
      <c r="R43" s="55"/>
      <c r="S43" s="55"/>
    </row>
    <row r="44" spans="1:48">
      <c r="L44" s="55"/>
      <c r="M44" s="65"/>
      <c r="O44" s="55"/>
      <c r="P44" s="55"/>
      <c r="Q44" s="55"/>
      <c r="R44" s="55"/>
      <c r="S44" s="55"/>
    </row>
    <row r="45" spans="1:48">
      <c r="L45" s="55"/>
      <c r="M45" s="65"/>
      <c r="O45" s="55"/>
      <c r="P45" s="55"/>
      <c r="Q45" s="55"/>
      <c r="R45" s="55"/>
      <c r="S45" s="55"/>
    </row>
    <row r="46" spans="1:48">
      <c r="L46" s="55"/>
      <c r="M46" s="55"/>
      <c r="N46" s="55"/>
      <c r="O46" s="55"/>
      <c r="P46" s="55"/>
      <c r="Q46" s="55"/>
      <c r="R46" s="55"/>
      <c r="S46" s="55"/>
    </row>
  </sheetData>
  <phoneticPr fontId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1"/>
  <sheetViews>
    <sheetView showRuler="0" workbookViewId="0">
      <selection activeCell="N39" sqref="N39"/>
    </sheetView>
  </sheetViews>
  <sheetFormatPr baseColWidth="10" defaultColWidth="8.83203125" defaultRowHeight="15" x14ac:dyDescent="0"/>
  <cols>
    <col min="1" max="6" width="8.83203125" style="2"/>
    <col min="7" max="7" width="8.83203125" style="39"/>
    <col min="8" max="16384" width="8.83203125" style="2"/>
  </cols>
  <sheetData>
    <row r="1" spans="2:34">
      <c r="B1" s="30" t="s">
        <v>35</v>
      </c>
      <c r="D1" s="2" t="s">
        <v>64</v>
      </c>
      <c r="AH1" s="30"/>
    </row>
    <row r="2" spans="2:34">
      <c r="Q2" s="30" t="s">
        <v>36</v>
      </c>
      <c r="AH2" s="30"/>
    </row>
    <row r="3" spans="2:34">
      <c r="B3" s="30"/>
      <c r="C3" s="2" t="s">
        <v>1</v>
      </c>
      <c r="S3" s="2" t="s">
        <v>37</v>
      </c>
      <c r="AH3" s="30"/>
    </row>
    <row r="4" spans="2:34">
      <c r="B4" s="30"/>
      <c r="C4" s="2" t="s">
        <v>2</v>
      </c>
      <c r="S4" s="30" t="s">
        <v>38</v>
      </c>
      <c r="AH4" s="30"/>
    </row>
    <row r="5" spans="2:34">
      <c r="B5" s="30"/>
      <c r="AH5" s="30"/>
    </row>
    <row r="6" spans="2:34">
      <c r="C6" s="30" t="s">
        <v>65</v>
      </c>
      <c r="AH6" s="30"/>
    </row>
    <row r="7" spans="2:34">
      <c r="C7" s="38" t="s">
        <v>66</v>
      </c>
      <c r="D7" s="38" t="s">
        <v>67</v>
      </c>
      <c r="E7" s="38" t="s">
        <v>68</v>
      </c>
      <c r="F7" s="39"/>
      <c r="G7" s="30" t="s">
        <v>72</v>
      </c>
      <c r="AH7" s="30"/>
    </row>
    <row r="8" spans="2:34">
      <c r="C8" s="32">
        <v>96.42</v>
      </c>
      <c r="D8" s="32">
        <v>100</v>
      </c>
      <c r="E8" s="32">
        <v>82.52</v>
      </c>
      <c r="F8" s="39"/>
      <c r="G8" s="2" t="s">
        <v>0</v>
      </c>
      <c r="AH8" s="30"/>
    </row>
    <row r="9" spans="2:34">
      <c r="AH9" s="30"/>
    </row>
    <row r="10" spans="2:34" ht="16">
      <c r="B10" s="38" t="s">
        <v>39</v>
      </c>
      <c r="C10" s="41" t="s">
        <v>69</v>
      </c>
      <c r="D10" s="41" t="s">
        <v>70</v>
      </c>
      <c r="E10" s="41" t="s">
        <v>71</v>
      </c>
      <c r="F10" s="49"/>
      <c r="G10" s="46"/>
      <c r="H10" s="33" t="s">
        <v>10</v>
      </c>
      <c r="I10" s="33" t="s">
        <v>47</v>
      </c>
      <c r="J10" s="33" t="s">
        <v>48</v>
      </c>
      <c r="K10" s="33" t="s">
        <v>49</v>
      </c>
      <c r="L10"/>
      <c r="M10" s="80" t="s">
        <v>11</v>
      </c>
      <c r="N10" s="80" t="s">
        <v>12</v>
      </c>
      <c r="O10" s="80" t="s">
        <v>51</v>
      </c>
      <c r="P10"/>
      <c r="Q10"/>
      <c r="R10" s="80" t="s">
        <v>41</v>
      </c>
      <c r="S10" s="80" t="s">
        <v>42</v>
      </c>
      <c r="T10"/>
      <c r="U10" s="33"/>
      <c r="V10" s="80" t="s">
        <v>43</v>
      </c>
      <c r="W10"/>
      <c r="X10"/>
      <c r="Y10"/>
      <c r="Z10"/>
      <c r="AA10"/>
      <c r="AB10"/>
      <c r="AC10"/>
      <c r="AD10"/>
      <c r="AE10"/>
      <c r="AF10"/>
      <c r="AG10"/>
    </row>
    <row r="11" spans="2:34" s="77" customFormat="1" ht="13">
      <c r="B11" s="71" t="s">
        <v>3</v>
      </c>
      <c r="C11" s="72">
        <v>85.88</v>
      </c>
      <c r="D11" s="72">
        <v>88.305000000000007</v>
      </c>
      <c r="E11" s="72">
        <v>80.125</v>
      </c>
      <c r="F11" s="78"/>
      <c r="G11" s="79"/>
      <c r="H11" s="75">
        <f>IF(D11/$D$8&gt;0.008856,116*((D11/$D$8)^0.33333333)-16,903.3*D11/$D$8)</f>
        <v>95.289217217348707</v>
      </c>
      <c r="I11" s="75">
        <f>IF(C11/$C$8&gt;0.008856,(C11/$C$8)^0.33333333,7.787*(C11/$C$8)+16/116)</f>
        <v>0.96214745708498906</v>
      </c>
      <c r="J11" s="75">
        <f>IF(D11/$D$8&gt;0.008856,(D11/$D$8)^0.33333333,7.787*(D11/$D$8)+16/116)</f>
        <v>0.95938980359783366</v>
      </c>
      <c r="K11" s="75">
        <f>IF(E11/$E$8&gt;0.008856,(E11/$E$8)^0.33333333,7.787*(E11/$E$8)+16/116)</f>
        <v>0.99023044433096752</v>
      </c>
      <c r="M11" s="75">
        <f>500*(I11-J11)</f>
        <v>1.3788267435776991</v>
      </c>
      <c r="N11" s="75">
        <f>200*(J11-K11)</f>
        <v>-6.1681281466267723</v>
      </c>
      <c r="O11" s="75">
        <f t="shared" ref="O11:O20" si="0">(M11^2+N11^2)^0.5</f>
        <v>6.3203613838145758</v>
      </c>
      <c r="R11" s="75">
        <f>M11*(1+$Q17)</f>
        <v>2.0581074156447006</v>
      </c>
      <c r="S11" s="75">
        <f t="shared" ref="S11:S20" si="1">(R11^2+N11^2)^0.5</f>
        <v>6.502431158231599</v>
      </c>
      <c r="U11" s="76">
        <f t="shared" ref="U11:U20" si="2">(ATAN2(R11,N11))*180/PI()</f>
        <v>-71.547791800284088</v>
      </c>
      <c r="V11" s="76">
        <f>IF(U11&lt;0,U11+360,U11)</f>
        <v>288.45220819971593</v>
      </c>
    </row>
    <row r="12" spans="2:34">
      <c r="B12" s="44" t="s">
        <v>6</v>
      </c>
      <c r="C12" s="32">
        <v>72.782499999999999</v>
      </c>
      <c r="D12" s="32">
        <v>75.394999999999996</v>
      </c>
      <c r="E12" s="32">
        <v>54.732500000000002</v>
      </c>
      <c r="F12" s="50"/>
      <c r="G12" s="47"/>
      <c r="H12" s="36">
        <f>IF(D12/$D$8&gt;0.008856,116*((D12/$D$8)^0.33333333)-16,903.3*D12/$D$8)</f>
        <v>89.577693868930794</v>
      </c>
      <c r="I12" s="36">
        <f>IF(C12/$C$8&gt;0.008856,(C12/$C$8)^0.33333333,7.787*(C12/$C$8)+16/116)</f>
        <v>0.91051397172015902</v>
      </c>
      <c r="J12" s="36">
        <f>IF(D12/$D$8&gt;0.008856,(D12/$D$8)^0.33333333,7.787*(D12/$D$8)+16/116)</f>
        <v>0.91015253335285173</v>
      </c>
      <c r="K12" s="36">
        <f>IF(E12/$E$8&gt;0.008856,(E12/$E$8)^0.33333333,7.787*(E12/$E$8)+16/116)</f>
        <v>0.87209143806938405</v>
      </c>
      <c r="L12" s="52"/>
      <c r="M12" s="36">
        <f>500*(I12-J12)</f>
        <v>0.1807191836536437</v>
      </c>
      <c r="N12" s="36">
        <f>200*(J12-K12)</f>
        <v>7.6122190566935366</v>
      </c>
      <c r="O12" s="36">
        <f t="shared" si="0"/>
        <v>7.6143639517972002</v>
      </c>
      <c r="P12" s="49"/>
      <c r="Q12" s="28"/>
      <c r="R12" s="36">
        <f>M12*(1+$Q18)</f>
        <v>0.26966997610838106</v>
      </c>
      <c r="S12" s="36">
        <f t="shared" si="1"/>
        <v>7.6169942144590426</v>
      </c>
      <c r="T12" s="52"/>
      <c r="U12" s="37">
        <f t="shared" si="2"/>
        <v>87.97109192362106</v>
      </c>
      <c r="V12" s="37">
        <f>IF(U12&lt;0,U12+360,U12)</f>
        <v>87.97109192362106</v>
      </c>
      <c r="W12" s="54"/>
      <c r="X12" s="53"/>
      <c r="Y12" s="53"/>
      <c r="Z12" s="39"/>
      <c r="AA12" s="39"/>
      <c r="AB12" s="39"/>
      <c r="AC12" s="39"/>
      <c r="AD12" s="39"/>
      <c r="AE12" s="39"/>
      <c r="AF12" s="39"/>
      <c r="AG12" s="39"/>
    </row>
    <row r="13" spans="2:34">
      <c r="B13" s="44" t="s">
        <v>4</v>
      </c>
      <c r="C13" s="32">
        <v>18.7425</v>
      </c>
      <c r="D13" s="32">
        <v>19.329999999999998</v>
      </c>
      <c r="E13" s="32">
        <v>16.8475</v>
      </c>
      <c r="F13" s="50"/>
      <c r="G13" s="47"/>
      <c r="H13" s="36">
        <f>IF(D13/$D$8&gt;0.008856,116*((D13/$D$8)^0.33333333)-16,903.3*D13/$D$8)</f>
        <v>51.071076407274532</v>
      </c>
      <c r="I13" s="36">
        <f>IF(C13/$C$8&gt;0.008856,(C13/$C$8)^0.33333333,7.787*(C13/$C$8)+16/116)</f>
        <v>0.5792776862640473</v>
      </c>
      <c r="J13" s="36">
        <f>IF(D13/$D$8&gt;0.008856,(D13/$D$8)^0.33333333,7.787*(D13/$D$8)+16/116)</f>
        <v>0.57819893454547011</v>
      </c>
      <c r="K13" s="36">
        <f>IF(E13/$E$8&gt;0.008856,(E13/$E$8)^0.33333333,7.787*(E13/$E$8)+16/116)</f>
        <v>0.58883292273542165</v>
      </c>
      <c r="L13" s="52"/>
      <c r="M13" s="36">
        <f>500*(I13-J13)</f>
        <v>0.53937585928859333</v>
      </c>
      <c r="N13" s="36">
        <f>200*(J13-K13)</f>
        <v>-2.1267976379903075</v>
      </c>
      <c r="O13" s="36">
        <f t="shared" si="0"/>
        <v>2.1941272776537963</v>
      </c>
      <c r="P13" s="49"/>
      <c r="Q13" s="28"/>
      <c r="R13" s="36">
        <f>M13*(1+$Q19)</f>
        <v>0.80900977723515621</v>
      </c>
      <c r="S13" s="36">
        <f t="shared" si="1"/>
        <v>2.2754702838365586</v>
      </c>
      <c r="T13" s="52"/>
      <c r="U13" s="37">
        <f t="shared" si="2"/>
        <v>-69.173751029976287</v>
      </c>
      <c r="V13" s="37">
        <f>IF(U13&lt;0,U13+360,U13)</f>
        <v>290.8262489700237</v>
      </c>
      <c r="W13" s="54"/>
      <c r="X13" s="53"/>
      <c r="Y13" s="53"/>
      <c r="Z13" s="39"/>
      <c r="AA13" s="39"/>
      <c r="AB13" s="39"/>
      <c r="AC13" s="39"/>
      <c r="AD13" s="39"/>
      <c r="AE13" s="39"/>
      <c r="AF13" s="39"/>
      <c r="AG13" s="39"/>
    </row>
    <row r="14" spans="2:34">
      <c r="B14" s="45" t="s">
        <v>5</v>
      </c>
      <c r="C14" s="32">
        <v>52.1175</v>
      </c>
      <c r="D14" s="32">
        <v>53.685000000000002</v>
      </c>
      <c r="E14" s="32">
        <v>48.134999999999998</v>
      </c>
      <c r="F14" s="50"/>
      <c r="G14" s="47"/>
      <c r="H14" s="36">
        <f>IF(D14/$D$8&gt;0.008856,116*((D14/$D$8)^0.33333333)-16,903.3*D14/$D$8)</f>
        <v>78.277699352001321</v>
      </c>
      <c r="I14" s="36">
        <f>IF(C14/$C$8&gt;0.008856,(C14/$C$8)^0.33333333,7.787*(C14/$C$8)+16/116)</f>
        <v>0.81458951707578964</v>
      </c>
      <c r="J14" s="36">
        <f>IF(D14/$D$8&gt;0.008856,(D14/$D$8)^0.33333333,7.787*(D14/$D$8)+16/116)</f>
        <v>0.81273878751725281</v>
      </c>
      <c r="K14" s="36">
        <f>IF(E14/$E$8&gt;0.008856,(E14/$E$8)^0.33333333,7.787*(E14/$E$8)+16/116)</f>
        <v>0.8355400139602942</v>
      </c>
      <c r="L14" s="52"/>
      <c r="M14" s="36">
        <f>500*(I14-J14)</f>
        <v>0.92536477926841165</v>
      </c>
      <c r="N14" s="36">
        <f>200*(J14-K14)</f>
        <v>-4.5602452886082778</v>
      </c>
      <c r="O14" s="36">
        <f t="shared" si="0"/>
        <v>4.6531856901465334</v>
      </c>
      <c r="P14" s="49"/>
      <c r="Q14" s="28"/>
      <c r="R14" s="36">
        <f>M14*(1+$Q20)</f>
        <v>1.3867600531587305</v>
      </c>
      <c r="S14" s="36">
        <f t="shared" si="1"/>
        <v>4.7664389786622463</v>
      </c>
      <c r="T14" s="52"/>
      <c r="U14" s="37">
        <f t="shared" si="2"/>
        <v>-73.085604673822345</v>
      </c>
      <c r="V14" s="37">
        <f>IF(U14&lt;0,U14+360,U14)</f>
        <v>286.91439532617767</v>
      </c>
      <c r="W14" s="54"/>
      <c r="X14" s="53"/>
      <c r="Y14" s="53"/>
      <c r="Z14" s="39"/>
      <c r="AA14" s="39"/>
      <c r="AB14" s="39"/>
      <c r="AC14" s="39"/>
      <c r="AD14" s="39"/>
      <c r="AE14" s="39"/>
      <c r="AF14" s="39"/>
      <c r="AG14" s="39"/>
    </row>
    <row r="15" spans="2:34">
      <c r="B15" s="42"/>
      <c r="C15" s="42"/>
      <c r="D15" s="42"/>
      <c r="E15" s="42"/>
      <c r="F15" s="48"/>
      <c r="G15" s="43"/>
      <c r="H15" s="51"/>
      <c r="I15" s="69">
        <f>H15+1</f>
        <v>1</v>
      </c>
      <c r="J15" s="69">
        <f t="shared" ref="J15:AG15" si="3">I15+1</f>
        <v>2</v>
      </c>
      <c r="K15" s="69">
        <f t="shared" si="3"/>
        <v>3</v>
      </c>
      <c r="L15" s="69">
        <f t="shared" si="3"/>
        <v>4</v>
      </c>
      <c r="M15" s="69">
        <f t="shared" si="3"/>
        <v>5</v>
      </c>
      <c r="N15" s="69">
        <f t="shared" si="3"/>
        <v>6</v>
      </c>
      <c r="O15" s="69">
        <f t="shared" si="3"/>
        <v>7</v>
      </c>
      <c r="P15" s="69">
        <f t="shared" si="3"/>
        <v>8</v>
      </c>
      <c r="Q15" s="69">
        <f t="shared" si="3"/>
        <v>9</v>
      </c>
      <c r="R15" s="69">
        <f t="shared" si="3"/>
        <v>10</v>
      </c>
      <c r="S15" s="69">
        <f t="shared" si="3"/>
        <v>11</v>
      </c>
      <c r="T15" s="69">
        <f t="shared" si="3"/>
        <v>12</v>
      </c>
      <c r="U15" s="69">
        <f t="shared" si="3"/>
        <v>13</v>
      </c>
      <c r="V15" s="69">
        <f t="shared" si="3"/>
        <v>14</v>
      </c>
      <c r="W15" s="69">
        <f t="shared" si="3"/>
        <v>15</v>
      </c>
      <c r="X15" s="69">
        <f t="shared" si="3"/>
        <v>16</v>
      </c>
      <c r="Y15" s="69">
        <f t="shared" si="3"/>
        <v>17</v>
      </c>
      <c r="Z15" s="69">
        <f t="shared" si="3"/>
        <v>18</v>
      </c>
      <c r="AA15" s="69">
        <f t="shared" si="3"/>
        <v>19</v>
      </c>
      <c r="AB15" s="69">
        <f t="shared" si="3"/>
        <v>20</v>
      </c>
      <c r="AC15" s="69">
        <f t="shared" si="3"/>
        <v>21</v>
      </c>
      <c r="AD15" s="69">
        <f t="shared" si="3"/>
        <v>22</v>
      </c>
      <c r="AE15" s="69">
        <f t="shared" si="3"/>
        <v>23</v>
      </c>
      <c r="AF15" s="69">
        <f t="shared" si="3"/>
        <v>24</v>
      </c>
      <c r="AG15" s="69">
        <f t="shared" si="3"/>
        <v>25</v>
      </c>
      <c r="AH15" s="39"/>
    </row>
    <row r="16" spans="2:34" ht="16">
      <c r="B16" s="38" t="s">
        <v>46</v>
      </c>
      <c r="C16" s="41" t="s">
        <v>69</v>
      </c>
      <c r="D16" s="41" t="s">
        <v>70</v>
      </c>
      <c r="E16" s="41" t="s">
        <v>71</v>
      </c>
      <c r="F16" s="35" t="s">
        <v>63</v>
      </c>
      <c r="G16" s="50"/>
      <c r="H16" s="80" t="s">
        <v>10</v>
      </c>
      <c r="I16" s="33" t="s">
        <v>47</v>
      </c>
      <c r="J16" s="33" t="s">
        <v>48</v>
      </c>
      <c r="K16" s="33" t="s">
        <v>49</v>
      </c>
      <c r="L16" s="80" t="s">
        <v>50</v>
      </c>
      <c r="M16" s="80" t="s">
        <v>11</v>
      </c>
      <c r="N16" s="80" t="s">
        <v>12</v>
      </c>
      <c r="O16" s="80" t="s">
        <v>51</v>
      </c>
      <c r="P16" s="80" t="s">
        <v>52</v>
      </c>
      <c r="Q16" s="80" t="s">
        <v>40</v>
      </c>
      <c r="R16" s="80" t="s">
        <v>41</v>
      </c>
      <c r="S16" s="80" t="s">
        <v>42</v>
      </c>
      <c r="T16" s="80" t="s">
        <v>53</v>
      </c>
      <c r="U16" s="33"/>
      <c r="V16" s="80" t="s">
        <v>43</v>
      </c>
      <c r="W16" s="80" t="s">
        <v>54</v>
      </c>
      <c r="X16" s="80" t="s">
        <v>44</v>
      </c>
      <c r="Y16" s="81" t="s">
        <v>55</v>
      </c>
      <c r="Z16" s="81" t="s">
        <v>56</v>
      </c>
      <c r="AA16" s="81" t="s">
        <v>57</v>
      </c>
      <c r="AB16" s="81" t="s">
        <v>58</v>
      </c>
      <c r="AC16" s="80" t="s">
        <v>59</v>
      </c>
      <c r="AD16" s="80" t="s">
        <v>60</v>
      </c>
      <c r="AE16" s="80" t="s">
        <v>61</v>
      </c>
      <c r="AF16" s="81" t="s">
        <v>45</v>
      </c>
      <c r="AG16" s="80" t="s">
        <v>62</v>
      </c>
    </row>
    <row r="17" spans="2:38" s="77" customFormat="1" ht="13">
      <c r="B17" s="71" t="str">
        <f>B$11</f>
        <v>First</v>
      </c>
      <c r="C17" s="72">
        <v>84</v>
      </c>
      <c r="D17" s="72">
        <v>87</v>
      </c>
      <c r="E17" s="72">
        <v>82</v>
      </c>
      <c r="F17" s="73">
        <f>((Z17/AC17)^2+(AA17/AD17)^2+(AB17/AE17)^2+AG17*(AA17/AD17)*(AB17/AE17))^0.5</f>
        <v>2.6206220149266901</v>
      </c>
      <c r="G17" s="74"/>
      <c r="H17" s="75">
        <f>IF(D17/$D$8&gt;0.008856,116*((D17/$D$8)^0.33333333)-16,903.3*D17/$D$8)</f>
        <v>94.738271479981933</v>
      </c>
      <c r="I17" s="75">
        <f>IF(C17/$C$8&gt;0.008856,(C17/$C$8)^0.33333333,7.787*(C17/$C$8)+16/116)</f>
        <v>0.95507480067768047</v>
      </c>
      <c r="J17" s="75">
        <f>IF(D17/$D$8&gt;0.008856,(D17/$D$8)^0.33333333,7.787*(D17/$D$8)+16/116)</f>
        <v>0.95464027137915464</v>
      </c>
      <c r="K17" s="75">
        <f>IF(E17/$E$8&gt;0.008856,(E17/$E$8)^0.33333333,7.787*(E17/$E$8)+16/116)</f>
        <v>0.99789507151713286</v>
      </c>
      <c r="L17" s="75">
        <f>(H17+H$11)/2</f>
        <v>95.013744348665313</v>
      </c>
      <c r="M17" s="75">
        <f>500*(I17-J17)</f>
        <v>0.217264649262916</v>
      </c>
      <c r="N17" s="75">
        <f>200*(J17-K17)</f>
        <v>-8.6509600275956444</v>
      </c>
      <c r="O17" s="75">
        <f t="shared" si="0"/>
        <v>8.6536878454724135</v>
      </c>
      <c r="P17" s="75">
        <f>(O$11+O17)/2</f>
        <v>7.4870246146434951</v>
      </c>
      <c r="Q17" s="72">
        <f>0.5*(1-((P17^7)/(P17^7+25^7))^0.5)</f>
        <v>0.49265121613789098</v>
      </c>
      <c r="R17" s="75">
        <f>M17*(1+$Q17)</f>
        <v>0.32430034294606391</v>
      </c>
      <c r="S17" s="75">
        <f t="shared" si="1"/>
        <v>8.6570364508584916</v>
      </c>
      <c r="T17" s="75">
        <f>(S$11+S17)/2</f>
        <v>7.5797338045450449</v>
      </c>
      <c r="U17" s="76">
        <f t="shared" si="2"/>
        <v>-87.853146437416271</v>
      </c>
      <c r="V17" s="76">
        <f>IF(U17&lt;0,U17+360,U17)</f>
        <v>272.14685356258371</v>
      </c>
      <c r="W17" s="76">
        <f>IF(ABS(V$11-V17)&gt;180,(V$11+V17+360)/2,(V$11+V17)/2)</f>
        <v>280.29953088114985</v>
      </c>
      <c r="X17" s="75">
        <f>1-0.17*COS((W17-30)*PI()/180)+0.24*COS(2*W17*PI()/180)+0.32*COS((3*W17+6)*PI()/180)-0.2*COS((4*W17-63)*PI()/180)</f>
        <v>0.45482891389017804</v>
      </c>
      <c r="Y17" s="76">
        <f>IF(ABS(V17-V$11)&gt;180,IF(V17=MIN(V17,V$11),V17-V$11+360,V17-V$11-360),V17-V$11)</f>
        <v>-16.305354637132211</v>
      </c>
      <c r="Z17" s="75">
        <f>H17-H$11</f>
        <v>-0.55094573736677432</v>
      </c>
      <c r="AA17" s="75">
        <f>S17-S$11</f>
        <v>2.1546052926268926</v>
      </c>
      <c r="AB17" s="75">
        <f>2*(S17*S$11)^0.5*SIN((PI()/180)*Y17/2)</f>
        <v>-2.1279607955691877</v>
      </c>
      <c r="AC17" s="75">
        <f>1+(0.015*(L17-50)^2)/((20+(L17-50)^2)^0.5)</f>
        <v>1.6718983172591435</v>
      </c>
      <c r="AD17" s="75">
        <f>1+0.045*T17</f>
        <v>1.3410880212045271</v>
      </c>
      <c r="AE17" s="75">
        <f>1+0.015*T17*X17</f>
        <v>1.0517122314084684</v>
      </c>
      <c r="AF17" s="75">
        <f>30*EXP(-1*((W17-275)/25)^2)</f>
        <v>28.681758764133019</v>
      </c>
      <c r="AG17" s="75">
        <f>-2*(T17^7/(T17^7+25^7))^0.5*SIN(2*AF17*PI()/180)</f>
        <v>-2.5843186809345997E-2</v>
      </c>
    </row>
    <row r="18" spans="2:38">
      <c r="B18" s="44" t="str">
        <f>B$12</f>
        <v>Second</v>
      </c>
      <c r="C18" s="32">
        <v>72.782499999999999</v>
      </c>
      <c r="D18" s="32">
        <v>75.394999999999996</v>
      </c>
      <c r="E18" s="32">
        <v>54.732500000000002</v>
      </c>
      <c r="F18" s="31">
        <f>((Z18/AC18)^2+(AA18/AD18)^2+(AB18/AE18)^2+AG18*(AA18/AD18)*(AB18/AE18))^0.5</f>
        <v>0</v>
      </c>
      <c r="G18" s="40"/>
      <c r="H18" s="36">
        <f>IF(D18/$D$8&gt;0.008856,116*((D18/$D$8)^0.33333333)-16,903.3*D18/$D$8)</f>
        <v>89.577693868930794</v>
      </c>
      <c r="I18" s="36">
        <f>IF(C18/$C$8&gt;0.008856,(C18/$C$8)^0.33333333,7.787*(C18/$C$8)+16/116)</f>
        <v>0.91051397172015902</v>
      </c>
      <c r="J18" s="36">
        <f>IF(D18/$D$8&gt;0.008856,(D18/$D$8)^0.33333333,7.787*(D18/$D$8)+16/116)</f>
        <v>0.91015253335285173</v>
      </c>
      <c r="K18" s="36">
        <f>IF(E18/$E$8&gt;0.008856,(E18/$E$8)^0.33333333,7.787*(E18/$E$8)+16/116)</f>
        <v>0.87209143806938405</v>
      </c>
      <c r="L18" s="36">
        <f>(H18+H$12)/2</f>
        <v>89.577693868930794</v>
      </c>
      <c r="M18" s="36">
        <f>500*(I18-J18)</f>
        <v>0.1807191836536437</v>
      </c>
      <c r="N18" s="36">
        <f>200*(J18-K18)</f>
        <v>7.6122190566935366</v>
      </c>
      <c r="O18" s="36">
        <f t="shared" si="0"/>
        <v>7.6143639517972002</v>
      </c>
      <c r="P18" s="36">
        <f>(O$12+O18)/2</f>
        <v>7.6143639517972002</v>
      </c>
      <c r="Q18" s="32">
        <f>0.5*(1-((P18^7)/(P18^7+25^7))^0.5)</f>
        <v>0.49220448353294621</v>
      </c>
      <c r="R18" s="36">
        <f>M18*(1+$Q18)</f>
        <v>0.26966997610838106</v>
      </c>
      <c r="S18" s="36">
        <f t="shared" si="1"/>
        <v>7.6169942144590426</v>
      </c>
      <c r="T18" s="36">
        <f>(S$12+S18)/2</f>
        <v>7.6169942144590426</v>
      </c>
      <c r="U18" s="37">
        <f t="shared" si="2"/>
        <v>87.97109192362106</v>
      </c>
      <c r="V18" s="37">
        <f>IF(U18&lt;0,U18+360,U18)</f>
        <v>87.97109192362106</v>
      </c>
      <c r="W18" s="37">
        <f>IF(ABS(V$12-V18)&gt;180,(V$12+V18+360)/2,(V$12+V18)/2)</f>
        <v>87.97109192362106</v>
      </c>
      <c r="X18" s="36">
        <f>1-0.17*COS((W18-30)*PI()/180)+0.24*COS(2*W18*PI()/180)+0.32*COS((3*W18+6)*PI()/180)-0.2*COS((4*W18-63)*PI()/180)</f>
        <v>0.60522642577352603</v>
      </c>
      <c r="Y18" s="37">
        <f>IF(ABS(V18-V$12)&gt;180,IF(V18=MIN(V18,V$12),V18-V$12+360,V18-V$12-360),V18-V$12)</f>
        <v>0</v>
      </c>
      <c r="Z18" s="36">
        <f>H18-H$12</f>
        <v>0</v>
      </c>
      <c r="AA18" s="36">
        <f>S18-S$12</f>
        <v>0</v>
      </c>
      <c r="AB18" s="36">
        <f>2*(S18*S$12)^0.5*SIN((PI()/180)*Y18/2)</f>
        <v>0</v>
      </c>
      <c r="AC18" s="36">
        <f>1+(0.015*(L18-50)^2)/((20+(L18-50)^2)^0.5)</f>
        <v>1.5899113061638144</v>
      </c>
      <c r="AD18" s="36">
        <f>1+0.045*T18</f>
        <v>1.342764739650657</v>
      </c>
      <c r="AE18" s="36">
        <f>1+0.015*T18*X18</f>
        <v>1.0691500927533202</v>
      </c>
      <c r="AF18" s="36">
        <f>30*EXP(-1*((W18-275)/25)^2)</f>
        <v>1.4813511204431327E-23</v>
      </c>
      <c r="AG18" s="36">
        <f>-2*(T18^7/(T18^7+25^7))^0.5*SIN(2*AF18*PI()/180)</f>
        <v>-1.6143403816951419E-26</v>
      </c>
    </row>
    <row r="19" spans="2:38">
      <c r="B19" s="44" t="str">
        <f>B$13</f>
        <v>Third</v>
      </c>
      <c r="C19" s="32">
        <v>18.7425</v>
      </c>
      <c r="D19" s="32">
        <v>19.329999999999998</v>
      </c>
      <c r="E19" s="32">
        <v>16.8475</v>
      </c>
      <c r="F19" s="31">
        <f>((Z19/AC19)^2+(AA19/AD19)^2+(AB19/AE19)^2+AG19*(AA19/AD19)*(AB19/AE19))^0.5</f>
        <v>0</v>
      </c>
      <c r="G19" s="40"/>
      <c r="H19" s="36">
        <f>IF(D19/$D$8&gt;0.008856,116*((D19/$D$8)^0.33333333)-16,903.3*D19/$D$8)</f>
        <v>51.071076407274532</v>
      </c>
      <c r="I19" s="36">
        <f>IF(C19/$C$8&gt;0.008856,(C19/$C$8)^0.33333333,7.787*(C19/$C$8)+16/116)</f>
        <v>0.5792776862640473</v>
      </c>
      <c r="J19" s="36">
        <f>IF(D19/$D$8&gt;0.008856,(D19/$D$8)^0.33333333,7.787*(D19/$D$8)+16/116)</f>
        <v>0.57819893454547011</v>
      </c>
      <c r="K19" s="36">
        <f>IF(E19/$E$8&gt;0.008856,(E19/$E$8)^0.33333333,7.787*(E19/$E$8)+16/116)</f>
        <v>0.58883292273542165</v>
      </c>
      <c r="L19" s="36">
        <f>(H19+H$13)/2</f>
        <v>51.071076407274532</v>
      </c>
      <c r="M19" s="36">
        <f>500*(I19-J19)</f>
        <v>0.53937585928859333</v>
      </c>
      <c r="N19" s="36">
        <f>200*(J19-K19)</f>
        <v>-2.1267976379903075</v>
      </c>
      <c r="O19" s="36">
        <f t="shared" si="0"/>
        <v>2.1941272776537963</v>
      </c>
      <c r="P19" s="36">
        <f>(O$13+O19)/2</f>
        <v>2.1941272776537963</v>
      </c>
      <c r="Q19" s="32">
        <f>0.5*(1-((P19^7)/(P19^7+25^7))^0.5)</f>
        <v>0.49989986259710423</v>
      </c>
      <c r="R19" s="36">
        <f>M19*(1+$Q19)</f>
        <v>0.80900977723515621</v>
      </c>
      <c r="S19" s="36">
        <f t="shared" si="1"/>
        <v>2.2754702838365586</v>
      </c>
      <c r="T19" s="36">
        <f>(S$13+S19)/2</f>
        <v>2.2754702838365586</v>
      </c>
      <c r="U19" s="37">
        <f t="shared" si="2"/>
        <v>-69.173751029976287</v>
      </c>
      <c r="V19" s="37">
        <f>IF(U19&lt;0,U19+360,U19)</f>
        <v>290.8262489700237</v>
      </c>
      <c r="W19" s="37">
        <f>IF(ABS(V$13-V19)&gt;180,(V$13+V19+360)/2,(V$13+V19)/2)</f>
        <v>290.8262489700237</v>
      </c>
      <c r="X19" s="36">
        <f>1-0.17*COS((W19-30)*PI()/180)+0.24*COS(2*W19*PI()/180)+0.32*COS((3*W19+6)*PI()/180)-0.2*COS((4*W19-63)*PI()/180)</f>
        <v>0.36251561778497399</v>
      </c>
      <c r="Y19" s="37">
        <f>IF(ABS(V19-V$13)&gt;180,IF(V19=MIN(V19,V$13),V19-V$11+360,V19-V$13-360),V19-V$13)</f>
        <v>0</v>
      </c>
      <c r="Z19" s="36">
        <f>H19-H$13</f>
        <v>0</v>
      </c>
      <c r="AA19" s="36">
        <f>S19-S$13</f>
        <v>0</v>
      </c>
      <c r="AB19" s="36">
        <f>2*(S19*S$13)^0.5*SIN((PI()/180)*Y19/2)</f>
        <v>0</v>
      </c>
      <c r="AC19" s="36">
        <f>1+(0.015*(L19-50)^2)/((20+(L19-50)^2)^0.5)</f>
        <v>1.0037420163531212</v>
      </c>
      <c r="AD19" s="36">
        <f>1+0.045*T19</f>
        <v>1.1023961627726451</v>
      </c>
      <c r="AE19" s="36">
        <f>1+0.015*T19*X19</f>
        <v>1.0123734027354454</v>
      </c>
      <c r="AF19" s="36">
        <f>30*EXP(-1*((W19-275)/25)^2)</f>
        <v>20.094479615025499</v>
      </c>
      <c r="AG19" s="36">
        <f>-2*(T19^7/(T19^7+25^7))^0.5*SIN(2*AF19*PI()/180)</f>
        <v>-2.9360116237512869E-4</v>
      </c>
    </row>
    <row r="20" spans="2:38">
      <c r="B20" s="45" t="str">
        <f>B$14</f>
        <v>Fourth</v>
      </c>
      <c r="C20" s="32">
        <v>52.1175</v>
      </c>
      <c r="D20" s="32">
        <v>53.685000000000002</v>
      </c>
      <c r="E20" s="32">
        <v>48.134999999999998</v>
      </c>
      <c r="F20" s="31">
        <f>((Z20/AC20)^2+(AA20/AD20)^2+(AB20/AE20)^2+AG20*(AA20/AD20)*(AB20/AE20))^0.5</f>
        <v>0</v>
      </c>
      <c r="G20" s="40"/>
      <c r="H20" s="36">
        <f>IF(D20/$D$8&gt;0.008856,116*((D20/$D$8)^0.33333333)-16,903.3*D20/$D$8)</f>
        <v>78.277699352001321</v>
      </c>
      <c r="I20" s="36">
        <f>IF(C20/$C$8&gt;0.008856,(C20/$C$8)^0.33333333,7.787*(C20/$C$8)+16/116)</f>
        <v>0.81458951707578964</v>
      </c>
      <c r="J20" s="36">
        <f>IF(D20/$D$8&gt;0.008856,(D20/$D$8)^0.33333333,7.787*(D20/$D$8)+16/116)</f>
        <v>0.81273878751725281</v>
      </c>
      <c r="K20" s="36">
        <f>IF(E20/$E$8&gt;0.008856,(E20/$E$8)^0.33333333,7.787*(E20/$E$8)+16/116)</f>
        <v>0.8355400139602942</v>
      </c>
      <c r="L20" s="36">
        <f>(H20+H$14)/2</f>
        <v>78.277699352001321</v>
      </c>
      <c r="M20" s="36">
        <f>500*(I20-J20)</f>
        <v>0.92536477926841165</v>
      </c>
      <c r="N20" s="36">
        <f>200*(J20-K20)</f>
        <v>-4.5602452886082778</v>
      </c>
      <c r="O20" s="36">
        <f t="shared" si="0"/>
        <v>4.6531856901465334</v>
      </c>
      <c r="P20" s="36">
        <f>(O$14+O20)/2</f>
        <v>4.6531856901465334</v>
      </c>
      <c r="Q20" s="32">
        <f>0.5*(1-((P20^7)/(P20^7+25^7))^0.5)</f>
        <v>0.49860907204086091</v>
      </c>
      <c r="R20" s="36">
        <f>M20*(1+$Q20)</f>
        <v>1.3867600531587305</v>
      </c>
      <c r="S20" s="36">
        <f t="shared" si="1"/>
        <v>4.7664389786622463</v>
      </c>
      <c r="T20" s="36">
        <f>(S$14+S20)/2</f>
        <v>4.7664389786622463</v>
      </c>
      <c r="U20" s="37">
        <f t="shared" si="2"/>
        <v>-73.085604673822345</v>
      </c>
      <c r="V20" s="37">
        <f>IF(U20&lt;0,U20+360,U20)</f>
        <v>286.91439532617767</v>
      </c>
      <c r="W20" s="37">
        <f>IF(ABS(V$14-V20)&gt;180,(V$14+V20+360)/2,(V$14+V20)/2)</f>
        <v>286.91439532617767</v>
      </c>
      <c r="X20" s="36">
        <f>1-0.17*COS((W20-30)*PI()/180)+0.24*COS(2*W20*PI()/180)+0.32*COS((3*W20+6)*PI()/180)-0.2*COS((4*W20-63)*PI()/180)</f>
        <v>0.37218970441428356</v>
      </c>
      <c r="Y20" s="37">
        <f>IF(ABS(V20-V$14)&gt;180,IF(V20=MIN(V20,V$14),V20-V$14+360,V20-V$14-360),V20-V$14)</f>
        <v>0</v>
      </c>
      <c r="Z20" s="36">
        <f>H20-H$14</f>
        <v>0</v>
      </c>
      <c r="AA20" s="36">
        <f>S20-S$14</f>
        <v>0</v>
      </c>
      <c r="AB20" s="36">
        <f>2*(S20*S$14)^0.5*SIN((PI()/180)*Y20/2)</f>
        <v>0</v>
      </c>
      <c r="AC20" s="36">
        <f>1+(0.015*(L20-50)^2)/((20+(L20-50)^2)^0.5)</f>
        <v>1.4189584335215633</v>
      </c>
      <c r="AD20" s="36">
        <f>1+0.045*T20</f>
        <v>1.2144897540398012</v>
      </c>
      <c r="AE20" s="36">
        <f>1+0.015*T20*X20</f>
        <v>1.0266102927186553</v>
      </c>
      <c r="AF20" s="36">
        <f>30*EXP(-1*((W20-275)/25)^2)</f>
        <v>23.904647021437668</v>
      </c>
      <c r="AG20" s="36">
        <f>-2*(T20^7/(T20^7+25^7))^0.5*SIN(2*AF20*PI()/180)</f>
        <v>-4.4841965853012833E-3</v>
      </c>
    </row>
    <row r="22" spans="2:38" ht="16">
      <c r="C22" s="2" t="s">
        <v>91</v>
      </c>
      <c r="D22" s="33" t="s">
        <v>92</v>
      </c>
      <c r="E22" s="33" t="s">
        <v>93</v>
      </c>
      <c r="F22" s="33" t="s">
        <v>98</v>
      </c>
      <c r="G22" s="33" t="s">
        <v>40</v>
      </c>
      <c r="H22" s="33" t="s">
        <v>95</v>
      </c>
      <c r="I22" s="33" t="s">
        <v>41</v>
      </c>
      <c r="J22" s="33" t="s">
        <v>97</v>
      </c>
      <c r="K22" s="33" t="s">
        <v>94</v>
      </c>
      <c r="L22" s="33" t="s">
        <v>41</v>
      </c>
      <c r="M22" s="33" t="s">
        <v>96</v>
      </c>
      <c r="N22" s="33" t="s">
        <v>99</v>
      </c>
      <c r="O22" s="33" t="s">
        <v>100</v>
      </c>
      <c r="P22" s="33" t="s">
        <v>101</v>
      </c>
      <c r="Q22" s="33" t="s">
        <v>102</v>
      </c>
      <c r="R22" s="34" t="s">
        <v>55</v>
      </c>
      <c r="S22" s="34" t="s">
        <v>56</v>
      </c>
      <c r="T22" s="34" t="s">
        <v>57</v>
      </c>
      <c r="U22" s="34" t="s">
        <v>58</v>
      </c>
      <c r="V22" s="33" t="s">
        <v>50</v>
      </c>
      <c r="W22" s="33" t="s">
        <v>53</v>
      </c>
      <c r="X22" s="33" t="s">
        <v>54</v>
      </c>
      <c r="Z22" s="33" t="s">
        <v>59</v>
      </c>
      <c r="AA22" s="33" t="s">
        <v>60</v>
      </c>
      <c r="AB22" s="33" t="s">
        <v>44</v>
      </c>
      <c r="AC22" s="33" t="s">
        <v>61</v>
      </c>
      <c r="AD22" s="34" t="s">
        <v>45</v>
      </c>
      <c r="AF22" s="33" t="s">
        <v>62</v>
      </c>
    </row>
    <row r="23" spans="2:38" s="77" customFormat="1" ht="13">
      <c r="C23" s="77">
        <f>'LAB XYZ etc.'!V32</f>
        <v>1.2712152878889575</v>
      </c>
      <c r="D23" s="77">
        <f>'LAB XYZ etc.'!W32</f>
        <v>87.984999999999999</v>
      </c>
      <c r="E23" s="77">
        <f>'LAB XYZ etc.'!X32</f>
        <v>0</v>
      </c>
      <c r="F23" s="77">
        <f>'LAB XYZ etc.'!Y32</f>
        <v>0.02</v>
      </c>
      <c r="G23" s="77">
        <f>'LAB XYZ etc.'!Z32</f>
        <v>0.01</v>
      </c>
      <c r="H23" s="77">
        <f>'LAB XYZ etc.'!AA32</f>
        <v>0.49999999999936001</v>
      </c>
      <c r="I23" s="77">
        <f>'LAB XYZ etc.'!AB32</f>
        <v>0</v>
      </c>
      <c r="J23" s="77">
        <f>'LAB XYZ etc.'!AC32</f>
        <v>0</v>
      </c>
      <c r="K23" s="77">
        <f>'LAB XYZ etc.'!AD32</f>
        <v>2.9999999999987204E-2</v>
      </c>
      <c r="L23" s="77">
        <f>'LAB XYZ etc.'!AE32</f>
        <v>2.9999999999987204E-2</v>
      </c>
      <c r="M23" s="77">
        <f>'LAB XYZ etc.'!AF32</f>
        <v>1.4999999999993602E-2</v>
      </c>
      <c r="N23" s="77">
        <f>'LAB XYZ etc.'!AH32</f>
        <v>90</v>
      </c>
      <c r="O23" s="77">
        <f>'LAB XYZ etc.'!AJ32</f>
        <v>1.9098593171034883E-5</v>
      </c>
      <c r="P23" s="77">
        <f>'LAB XYZ etc.'!AK32</f>
        <v>45.000009549296585</v>
      </c>
      <c r="Q23" s="77">
        <f>'LAB XYZ etc.'!AL32</f>
        <v>0.67790394725536385</v>
      </c>
      <c r="R23" s="77">
        <f>'LAB XYZ etc.'!AM32</f>
        <v>-89.999980901406829</v>
      </c>
      <c r="S23" s="77">
        <f>'LAB XYZ etc.'!AN32</f>
        <v>1.9900000000000091</v>
      </c>
      <c r="T23" s="77">
        <f>'LAB XYZ etc.'!AO32</f>
        <v>2.9999999999987204E-2</v>
      </c>
      <c r="U23" s="77">
        <f>'LAB XYZ etc.'!AP32</f>
        <v>0</v>
      </c>
      <c r="V23" s="77">
        <f>'LAB XYZ etc.'!AQ32</f>
        <v>1.5658666573786393</v>
      </c>
      <c r="W23" s="77">
        <f>'LAB XYZ etc.'!AR32</f>
        <v>1.0006749999999998</v>
      </c>
      <c r="X23" s="77">
        <f>'LAB XYZ etc.'!AS32</f>
        <v>1.0001525283881323</v>
      </c>
      <c r="Y23" s="77">
        <f>'LAB XYZ etc.'!AT32</f>
        <v>5.2292494424471144E-36</v>
      </c>
      <c r="Z23" s="77">
        <f>'LAB XYZ etc.'!AU32</f>
        <v>-1.9315506194710722E-48</v>
      </c>
      <c r="AA23" s="77" t="e">
        <f>'LAB XYZ etc.'!#REF!</f>
        <v>#REF!</v>
      </c>
      <c r="AB23" s="77" t="e">
        <f>'LAB XYZ etc.'!#REF!</f>
        <v>#REF!</v>
      </c>
      <c r="AC23" s="77" t="e">
        <f>'LAB XYZ etc.'!#REF!</f>
        <v>#REF!</v>
      </c>
      <c r="AD23" s="77" t="e">
        <f>'LAB XYZ etc.'!#REF!</f>
        <v>#REF!</v>
      </c>
      <c r="AE23" s="77" t="e">
        <f>'LAB XYZ etc.'!#REF!</f>
        <v>#REF!</v>
      </c>
      <c r="AF23" s="77" t="e">
        <f>'LAB XYZ etc.'!#REF!</f>
        <v>#REF!</v>
      </c>
      <c r="AG23" s="77" t="e">
        <f>'LAB XYZ etc.'!#REF!</f>
        <v>#REF!</v>
      </c>
      <c r="AH23" s="77" t="e">
        <f>'LAB XYZ etc.'!#REF!</f>
        <v>#REF!</v>
      </c>
      <c r="AI23" s="77" t="e">
        <f>'LAB XYZ etc.'!#REF!</f>
        <v>#REF!</v>
      </c>
      <c r="AJ23" s="77" t="e">
        <f>'LAB XYZ etc.'!#REF!</f>
        <v>#REF!</v>
      </c>
      <c r="AK23" s="77" t="e">
        <f>'LAB XYZ etc.'!#REF!</f>
        <v>#REF!</v>
      </c>
      <c r="AL23" s="77" t="e">
        <f>'LAB XYZ etc.'!#REF!</f>
        <v>#REF!</v>
      </c>
    </row>
    <row r="26" spans="2:38">
      <c r="G26" s="2"/>
      <c r="K26"/>
      <c r="O26"/>
      <c r="P26"/>
      <c r="S26"/>
      <c r="V26"/>
      <c r="W26"/>
      <c r="X26"/>
      <c r="Y26"/>
      <c r="Z26"/>
      <c r="AA26"/>
      <c r="AB26"/>
      <c r="AC26"/>
      <c r="AD26"/>
      <c r="AE26"/>
      <c r="AF26"/>
    </row>
    <row r="27" spans="2:38" s="77" customFormat="1">
      <c r="B27" s="2"/>
      <c r="C27" s="2"/>
      <c r="D27" s="2"/>
      <c r="E27" s="2"/>
      <c r="F27" s="2"/>
    </row>
    <row r="28" spans="2:38">
      <c r="B28" s="38" t="s">
        <v>39</v>
      </c>
      <c r="E28" s="38" t="s">
        <v>103</v>
      </c>
      <c r="F28"/>
      <c r="G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2:38" ht="16">
      <c r="B29" s="80" t="s">
        <v>10</v>
      </c>
      <c r="C29" s="80" t="s">
        <v>11</v>
      </c>
      <c r="D29" s="80" t="s">
        <v>12</v>
      </c>
      <c r="E29" s="80" t="s">
        <v>10</v>
      </c>
      <c r="F29" s="80" t="s">
        <v>11</v>
      </c>
      <c r="G29" s="80" t="s">
        <v>12</v>
      </c>
      <c r="J29" s="35" t="s">
        <v>63</v>
      </c>
      <c r="K29" s="80" t="s">
        <v>50</v>
      </c>
      <c r="L29" s="80" t="s">
        <v>51</v>
      </c>
      <c r="M29" s="80" t="s">
        <v>51</v>
      </c>
      <c r="N29" s="80" t="s">
        <v>52</v>
      </c>
      <c r="O29" s="80" t="s">
        <v>40</v>
      </c>
      <c r="P29" s="80" t="s">
        <v>41</v>
      </c>
      <c r="Q29" s="80" t="s">
        <v>42</v>
      </c>
      <c r="R29" s="80" t="s">
        <v>41</v>
      </c>
      <c r="S29" s="80" t="s">
        <v>42</v>
      </c>
      <c r="T29" s="80" t="s">
        <v>53</v>
      </c>
      <c r="U29" s="80" t="s">
        <v>43</v>
      </c>
      <c r="V29" s="80" t="s">
        <v>43</v>
      </c>
      <c r="W29" s="80" t="s">
        <v>54</v>
      </c>
      <c r="X29" s="80" t="s">
        <v>44</v>
      </c>
      <c r="Y29" s="81" t="s">
        <v>55</v>
      </c>
      <c r="Z29" s="81" t="s">
        <v>56</v>
      </c>
      <c r="AA29" s="81" t="s">
        <v>57</v>
      </c>
      <c r="AB29" s="81" t="s">
        <v>58</v>
      </c>
      <c r="AC29" s="80" t="s">
        <v>59</v>
      </c>
      <c r="AD29" s="80" t="s">
        <v>60</v>
      </c>
      <c r="AE29" s="80" t="s">
        <v>61</v>
      </c>
      <c r="AF29" s="81" t="s">
        <v>45</v>
      </c>
      <c r="AG29" s="80" t="s">
        <v>62</v>
      </c>
    </row>
    <row r="30" spans="2:38" s="77" customFormat="1" ht="13">
      <c r="B30" s="75">
        <v>95.289217217348707</v>
      </c>
      <c r="C30" s="75">
        <v>1.3788267435776991</v>
      </c>
      <c r="D30" s="75">
        <v>-6.1681281466267723</v>
      </c>
      <c r="E30" s="75">
        <v>94.738271479981933</v>
      </c>
      <c r="F30" s="75">
        <v>0.217264649262916</v>
      </c>
      <c r="G30" s="75">
        <v>-8.6509600275956444</v>
      </c>
      <c r="J30" s="73">
        <f>((Z30/AC30)^2+(AA30/AD30)^2+(AB30/AE30)^2+AG30*(AA30/AD30)*(AB30/AE30))^0.5</f>
        <v>2.6206220149266901</v>
      </c>
      <c r="K30" s="75">
        <f>(E30+B30)/2</f>
        <v>95.013744348665313</v>
      </c>
      <c r="L30" s="75">
        <f>(C30^2+D30^2)^0.5</f>
        <v>6.3203613838145758</v>
      </c>
      <c r="M30" s="75">
        <f>(F30^2+G30^2)^0.5</f>
        <v>8.6536878454724135</v>
      </c>
      <c r="N30" s="75">
        <f>(L30+M30)/2</f>
        <v>7.4870246146434951</v>
      </c>
      <c r="O30" s="72">
        <f>0.5*(1-((N30^7)/(N30^7+25^7))^0.5)</f>
        <v>0.49265121613789098</v>
      </c>
      <c r="P30" s="75">
        <f>C30*(1+O30)</f>
        <v>2.0581074156447006</v>
      </c>
      <c r="Q30" s="75">
        <f>(P30^2+D30^2)^0.5</f>
        <v>6.502431158231599</v>
      </c>
      <c r="R30" s="75">
        <f>F30*(1+O30)</f>
        <v>0.32430034294606391</v>
      </c>
      <c r="S30" s="75">
        <f>(R30^2+G30^2)^0.5</f>
        <v>8.6570364508584916</v>
      </c>
      <c r="T30" s="75">
        <f>(Q30+S30)/2</f>
        <v>7.5797338045450449</v>
      </c>
      <c r="U30" s="76">
        <f>IF((ATAN2(P30,D30))*180/PI()&lt;0,(ATAN2(P30,D30))*180/PI()+360,(ATAN2(P30,D30))*180/PI())</f>
        <v>288.45220819971593</v>
      </c>
      <c r="V30" s="76">
        <f>IF((ATAN2(R30,G30))*180/PI()&lt;0,(ATAN2(R30,G30))*180/PI()+360,(ATAN2(R30,G30))*180/PI())</f>
        <v>272.14685356258371</v>
      </c>
      <c r="W30" s="76">
        <f>IF(ABS(U30-V30)&gt;180,(U30+V30+360)/2,(U30+V30)/2)</f>
        <v>280.29953088114985</v>
      </c>
      <c r="X30" s="75">
        <f>1-0.17*COS((W30-30)*PI()/180)+0.24*COS(2*W30*PI()/180)+0.32*COS((3*W30+6)*PI()/180)-0.2*COS((4*W30-63)*PI()/180)</f>
        <v>0.45482891389017804</v>
      </c>
      <c r="Y30" s="76">
        <f>IF(ABS(V30-U30)&gt;180,IF(V30=MIN(V30,U30),V30-U30+360,V30-U30-360),V30-U30)</f>
        <v>-16.305354637132211</v>
      </c>
      <c r="Z30" s="75">
        <f>E30-B30</f>
        <v>-0.55094573736677432</v>
      </c>
      <c r="AA30" s="75">
        <f>S30-Q30</f>
        <v>2.1546052926268926</v>
      </c>
      <c r="AB30" s="75">
        <f>2*(S30*Q30)^0.5*SIN((PI()/180)*Y30/2)</f>
        <v>-2.1279607955691877</v>
      </c>
      <c r="AC30" s="75">
        <f>1+(0.015*(K30-50)^2)/((20+(K30-50)^2)^0.5)</f>
        <v>1.6718983172591435</v>
      </c>
      <c r="AD30" s="75">
        <f>1+0.045*T30</f>
        <v>1.3410880212045271</v>
      </c>
      <c r="AE30" s="75">
        <f>1+0.015*T30*X30</f>
        <v>1.0517122314084684</v>
      </c>
      <c r="AF30" s="75">
        <f>30*EXP(-1*((W30-275)/25)^2)</f>
        <v>28.681758764133019</v>
      </c>
      <c r="AG30" s="75">
        <f>-2*(T30^7/(T30^7+25^7))^0.5*SIN(2*AF30*PI()/180)</f>
        <v>-2.5843186809345997E-2</v>
      </c>
    </row>
    <row r="31" spans="2:38">
      <c r="G31" s="2"/>
    </row>
  </sheetData>
  <phoneticPr fontId="1"/>
  <conditionalFormatting sqref="B17:B20 B11:B14">
    <cfRule type="expression" dxfId="2" priority="4" stopIfTrue="1">
      <formula>LEFT(B11,1)="C"</formula>
    </cfRule>
    <cfRule type="expression" dxfId="1" priority="5" stopIfTrue="1">
      <formula>LEFT(B11,1)="L"</formula>
    </cfRule>
    <cfRule type="expression" dxfId="0" priority="6" stopIfTrue="1">
      <formula>LEFT(B11,1)="D"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 XYZ etc.</vt:lpstr>
      <vt:lpstr>DE 2000</vt:lpstr>
    </vt:vector>
  </TitlesOfParts>
  <Company>Hutcheson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Hutcheson</dc:creator>
  <cp:lastModifiedBy>Don Hutcheson</cp:lastModifiedBy>
  <dcterms:created xsi:type="dcterms:W3CDTF">2004-08-09T03:34:05Z</dcterms:created>
  <dcterms:modified xsi:type="dcterms:W3CDTF">2018-04-21T00:44:21Z</dcterms:modified>
</cp:coreProperties>
</file>